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showInkAnnotation="0" codeName="ThisWorkbook" autoCompressPictures="0"/>
  <mc:AlternateContent xmlns:mc="http://schemas.openxmlformats.org/markup-compatibility/2006">
    <mc:Choice Requires="x15">
      <x15ac:absPath xmlns:x15ac="http://schemas.microsoft.com/office/spreadsheetml/2010/11/ac" url="Q:\SPONSORS\BSCES\Awards - Scholarships\Sustainability Award\2024\"/>
    </mc:Choice>
  </mc:AlternateContent>
  <xr:revisionPtr revIDLastSave="0" documentId="8_{77434798-6172-41EF-896C-91DE29FE74D8}" xr6:coauthVersionLast="47" xr6:coauthVersionMax="47" xr10:uidLastSave="{00000000-0000-0000-0000-000000000000}"/>
  <bookViews>
    <workbookView xWindow="28680" yWindow="-120" windowWidth="29040" windowHeight="15840" tabRatio="866" xr2:uid="{00000000-000D-0000-FFFF-FFFF00000000}"/>
  </bookViews>
  <sheets>
    <sheet name="Introduction" sheetId="2" r:id="rId1"/>
    <sheet name="Results" sheetId="16" r:id="rId2"/>
    <sheet name="Tabulations" sheetId="4" state="hidden" r:id="rId3"/>
    <sheet name="Quality of Life" sheetId="3" r:id="rId4"/>
    <sheet name="Leadership" sheetId="12" r:id="rId5"/>
    <sheet name="Resource Allocation" sheetId="13" r:id="rId6"/>
    <sheet name="Natural World" sheetId="14" r:id="rId7"/>
    <sheet name="Climate And Resilience" sheetId="15" r:id="rId8"/>
    <sheet name="lookup" sheetId="9" state="hidden" r:id="rId9"/>
    <sheet name="Points" sheetId="6" state="hidden" r:id="rId10"/>
  </sheets>
  <definedNames>
    <definedName name="_xlnm.Print_Area" localSheetId="7">'Climate And Resilience'!$B$1:$G$133</definedName>
    <definedName name="_xlnm.Print_Area" localSheetId="0">Introduction!$A$1:$XFC$53</definedName>
    <definedName name="_xlnm.Print_Area" localSheetId="4">Leadership!$B$1:$G$163</definedName>
    <definedName name="_xlnm.Print_Area" localSheetId="6">'Natural World'!$B$1:$G$201</definedName>
    <definedName name="_xlnm.Print_Area" localSheetId="3">'Quality of Life'!$B$1:$G$199</definedName>
    <definedName name="_xlnm.Print_Area" localSheetId="5">'Resource Allocation'!$B$1:$G$169</definedName>
    <definedName name="YN">Tabulations!$A$1:$A$2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09" i="13" l="1"/>
  <c r="F83" i="15"/>
  <c r="F38" i="15"/>
  <c r="F25" i="15"/>
  <c r="F14" i="15"/>
  <c r="F16" i="15" s="1"/>
  <c r="F198" i="14"/>
  <c r="F167" i="14"/>
  <c r="F150" i="14"/>
  <c r="F134" i="14"/>
  <c r="F104" i="14"/>
  <c r="F89" i="14"/>
  <c r="F87" i="14"/>
  <c r="F74" i="14"/>
  <c r="F58" i="14"/>
  <c r="F44" i="14"/>
  <c r="F30" i="14"/>
  <c r="F13" i="14"/>
  <c r="F165" i="13"/>
  <c r="F154" i="13"/>
  <c r="F141" i="13"/>
  <c r="F139" i="13"/>
  <c r="F111" i="13"/>
  <c r="F109" i="13"/>
  <c r="F97" i="13"/>
  <c r="F99" i="13" s="1"/>
  <c r="F86" i="13"/>
  <c r="F74" i="13"/>
  <c r="F60" i="13"/>
  <c r="F48" i="13"/>
  <c r="F36" i="13"/>
  <c r="F24" i="13"/>
  <c r="F13" i="13"/>
  <c r="F143" i="12"/>
  <c r="F61" i="3"/>
  <c r="F196" i="3"/>
  <c r="F56" i="12"/>
  <c r="F5" i="4"/>
  <c r="R5" i="4"/>
  <c r="E5" i="4"/>
  <c r="Q5" i="4"/>
  <c r="F7" i="16"/>
  <c r="F6" i="4"/>
  <c r="R6" i="4"/>
  <c r="E6" i="4"/>
  <c r="Q6" i="4"/>
  <c r="F8" i="16"/>
  <c r="F7" i="4"/>
  <c r="R7" i="4"/>
  <c r="E7" i="4"/>
  <c r="Q7" i="4"/>
  <c r="F9" i="16"/>
  <c r="F8" i="4"/>
  <c r="R8" i="4"/>
  <c r="E8" i="4"/>
  <c r="Q8" i="4"/>
  <c r="F10" i="16"/>
  <c r="F9" i="4"/>
  <c r="N9" i="4" s="1"/>
  <c r="E9" i="4"/>
  <c r="T9" i="4" s="1"/>
  <c r="F10" i="4"/>
  <c r="R10" i="4"/>
  <c r="E10" i="4"/>
  <c r="Q10" i="4"/>
  <c r="F12" i="16"/>
  <c r="F11" i="4"/>
  <c r="R11" i="4"/>
  <c r="E11" i="4"/>
  <c r="Q11" i="4"/>
  <c r="F13" i="16"/>
  <c r="F12" i="4"/>
  <c r="R12" i="4"/>
  <c r="E12" i="4"/>
  <c r="Q12" i="4"/>
  <c r="F14" i="16"/>
  <c r="F13" i="4"/>
  <c r="R13" i="4"/>
  <c r="E13" i="4"/>
  <c r="Q13" i="4"/>
  <c r="F15" i="16"/>
  <c r="F14" i="4"/>
  <c r="R14" i="4"/>
  <c r="E14" i="4"/>
  <c r="Q14" i="4"/>
  <c r="F16" i="16"/>
  <c r="F15" i="4"/>
  <c r="R15" i="4"/>
  <c r="E15" i="4"/>
  <c r="Q15" i="4"/>
  <c r="F17" i="16"/>
  <c r="F16" i="4"/>
  <c r="R16" i="4"/>
  <c r="E16" i="4"/>
  <c r="Q16" i="4"/>
  <c r="F18" i="16"/>
  <c r="E143" i="12"/>
  <c r="G58" i="4"/>
  <c r="W58" i="4"/>
  <c r="H2" i="6"/>
  <c r="P6" i="16"/>
  <c r="H3" i="6"/>
  <c r="P7" i="16"/>
  <c r="H4" i="6"/>
  <c r="P8" i="16"/>
  <c r="H5" i="6"/>
  <c r="P9" i="16"/>
  <c r="H6" i="6"/>
  <c r="P10" i="16"/>
  <c r="H7" i="6"/>
  <c r="P11" i="16"/>
  <c r="H8" i="6"/>
  <c r="P12" i="16"/>
  <c r="H9" i="6"/>
  <c r="P13" i="16"/>
  <c r="H10" i="6"/>
  <c r="P14" i="16"/>
  <c r="H11" i="6"/>
  <c r="P15" i="16"/>
  <c r="H12" i="6"/>
  <c r="P16" i="16"/>
  <c r="H13" i="6"/>
  <c r="P17" i="16"/>
  <c r="H14" i="6"/>
  <c r="P18" i="16"/>
  <c r="H15" i="6"/>
  <c r="P22" i="16"/>
  <c r="H16" i="6"/>
  <c r="P23" i="16"/>
  <c r="H17" i="6"/>
  <c r="P24" i="16"/>
  <c r="H18" i="6"/>
  <c r="P25" i="16"/>
  <c r="H19" i="6"/>
  <c r="P26" i="16"/>
  <c r="H20" i="6"/>
  <c r="P27" i="16"/>
  <c r="H21" i="6"/>
  <c r="P28" i="16"/>
  <c r="H22" i="6"/>
  <c r="P29" i="16"/>
  <c r="H23" i="6"/>
  <c r="P30" i="16"/>
  <c r="H24" i="6"/>
  <c r="P31" i="16"/>
  <c r="H25" i="6"/>
  <c r="P32" i="16"/>
  <c r="H26" i="6"/>
  <c r="P36" i="16"/>
  <c r="H27" i="6"/>
  <c r="P37" i="16"/>
  <c r="H28" i="6"/>
  <c r="P38" i="16"/>
  <c r="H29" i="6"/>
  <c r="P39" i="16"/>
  <c r="H30" i="6"/>
  <c r="P40" i="16"/>
  <c r="H31" i="6"/>
  <c r="P41" i="16"/>
  <c r="H32" i="6"/>
  <c r="P42" i="16"/>
  <c r="H33" i="6"/>
  <c r="P43" i="16"/>
  <c r="H34" i="6"/>
  <c r="P44" i="16"/>
  <c r="H35" i="6"/>
  <c r="P45" i="16"/>
  <c r="H36" i="6"/>
  <c r="P46" i="16"/>
  <c r="H37" i="6"/>
  <c r="P47" i="16"/>
  <c r="H38" i="6"/>
  <c r="P48" i="16"/>
  <c r="H39" i="6"/>
  <c r="P52" i="16"/>
  <c r="H40" i="6"/>
  <c r="P53" i="16"/>
  <c r="H41" i="6"/>
  <c r="P54" i="16"/>
  <c r="H42" i="6"/>
  <c r="P55" i="16"/>
  <c r="H43" i="6"/>
  <c r="P56" i="16"/>
  <c r="H44" i="6"/>
  <c r="P57" i="16"/>
  <c r="H45" i="6"/>
  <c r="P58" i="16"/>
  <c r="H46" i="6"/>
  <c r="P59" i="16"/>
  <c r="H47" i="6"/>
  <c r="P60" i="16"/>
  <c r="H48" i="6"/>
  <c r="P61" i="16"/>
  <c r="H49" i="6"/>
  <c r="P62" i="16"/>
  <c r="H50" i="6"/>
  <c r="P63" i="16"/>
  <c r="H51" i="6"/>
  <c r="P64" i="16"/>
  <c r="H52" i="6"/>
  <c r="P68" i="16"/>
  <c r="H53" i="6"/>
  <c r="P69" i="16"/>
  <c r="H54" i="6"/>
  <c r="P70" i="16"/>
  <c r="H55" i="6"/>
  <c r="P71" i="16"/>
  <c r="H56" i="6"/>
  <c r="P72" i="16"/>
  <c r="H57" i="6"/>
  <c r="P73" i="16"/>
  <c r="H58" i="6"/>
  <c r="P74" i="16"/>
  <c r="H59" i="6"/>
  <c r="P75" i="16"/>
  <c r="H60" i="6"/>
  <c r="P76" i="16"/>
  <c r="P80" i="16"/>
  <c r="C73" i="4"/>
  <c r="F51" i="4"/>
  <c r="R51" i="4"/>
  <c r="E51" i="4"/>
  <c r="Q51" i="4"/>
  <c r="F56" i="16"/>
  <c r="F56" i="4"/>
  <c r="R56" i="4"/>
  <c r="E56" i="4"/>
  <c r="Q56" i="4"/>
  <c r="F61" i="16"/>
  <c r="F33" i="4"/>
  <c r="R33" i="4"/>
  <c r="S33" i="4"/>
  <c r="F32" i="4"/>
  <c r="R32" i="4"/>
  <c r="S32" i="4"/>
  <c r="F70" i="4"/>
  <c r="F69" i="4"/>
  <c r="F68" i="4"/>
  <c r="F67" i="4"/>
  <c r="F66" i="4"/>
  <c r="R66" i="4"/>
  <c r="S66" i="4"/>
  <c r="F65" i="4"/>
  <c r="F64" i="4"/>
  <c r="R64" i="4"/>
  <c r="F63" i="4"/>
  <c r="F62" i="4"/>
  <c r="R62" i="4" s="1"/>
  <c r="F59" i="4"/>
  <c r="F58" i="4"/>
  <c r="F57" i="4"/>
  <c r="F55" i="4"/>
  <c r="F54" i="4"/>
  <c r="F53" i="4"/>
  <c r="F52" i="4"/>
  <c r="R52" i="4"/>
  <c r="F50" i="4"/>
  <c r="F49" i="4"/>
  <c r="F48" i="4"/>
  <c r="F47" i="4"/>
  <c r="R47" i="4"/>
  <c r="F44" i="4"/>
  <c r="F43" i="4"/>
  <c r="F42" i="4"/>
  <c r="F41" i="4"/>
  <c r="R41" i="4" s="1"/>
  <c r="F40" i="4"/>
  <c r="R40" i="4" s="1"/>
  <c r="F39" i="4"/>
  <c r="F38" i="4"/>
  <c r="F37" i="4"/>
  <c r="F36" i="4"/>
  <c r="F35" i="4"/>
  <c r="F34" i="4"/>
  <c r="F29" i="4"/>
  <c r="F28" i="4"/>
  <c r="F27" i="4"/>
  <c r="F26" i="4"/>
  <c r="R26" i="4"/>
  <c r="S26" i="4"/>
  <c r="F25" i="4"/>
  <c r="F24" i="4"/>
  <c r="F23" i="4"/>
  <c r="F22" i="4"/>
  <c r="F21" i="4"/>
  <c r="F20" i="4"/>
  <c r="F19" i="4"/>
  <c r="S56" i="4"/>
  <c r="R59" i="4"/>
  <c r="S59" i="4"/>
  <c r="F4" i="4"/>
  <c r="R4" i="4" s="1"/>
  <c r="R70" i="4"/>
  <c r="R68" i="4"/>
  <c r="S64" i="4"/>
  <c r="S52" i="4"/>
  <c r="S47" i="4"/>
  <c r="R38" i="4"/>
  <c r="R36" i="4"/>
  <c r="R34" i="4"/>
  <c r="R27" i="4"/>
  <c r="S16" i="4"/>
  <c r="R42" i="4"/>
  <c r="R44" i="4"/>
  <c r="R23" i="4"/>
  <c r="R19" i="4"/>
  <c r="R69" i="4"/>
  <c r="R65" i="4"/>
  <c r="R48" i="4"/>
  <c r="R22" i="4"/>
  <c r="R39" i="4"/>
  <c r="S39" i="4" s="1"/>
  <c r="R49" i="4"/>
  <c r="R57" i="4"/>
  <c r="R63" i="4"/>
  <c r="R20" i="4"/>
  <c r="R55" i="4"/>
  <c r="R21" i="4"/>
  <c r="R25" i="4"/>
  <c r="R29" i="4"/>
  <c r="R50" i="4"/>
  <c r="R54" i="4"/>
  <c r="R58" i="4"/>
  <c r="R35" i="4"/>
  <c r="R43" i="4"/>
  <c r="R53" i="4"/>
  <c r="R67" i="4"/>
  <c r="R24" i="4"/>
  <c r="R28" i="4"/>
  <c r="R37" i="4"/>
  <c r="S51" i="4"/>
  <c r="S70" i="4"/>
  <c r="S68" i="4"/>
  <c r="S67" i="4"/>
  <c r="S58" i="4"/>
  <c r="S57" i="4"/>
  <c r="S55" i="4"/>
  <c r="S54" i="4"/>
  <c r="S53" i="4"/>
  <c r="S49" i="4"/>
  <c r="S43" i="4"/>
  <c r="S38" i="4"/>
  <c r="S37" i="4"/>
  <c r="S36" i="4"/>
  <c r="S35" i="4"/>
  <c r="S34" i="4"/>
  <c r="S29" i="4"/>
  <c r="S28" i="4"/>
  <c r="S27" i="4"/>
  <c r="S25" i="4"/>
  <c r="S24" i="4"/>
  <c r="S21" i="4"/>
  <c r="S20" i="4"/>
  <c r="S15" i="4"/>
  <c r="S14" i="4"/>
  <c r="S13" i="4"/>
  <c r="S12" i="4"/>
  <c r="S11" i="4"/>
  <c r="S10" i="4"/>
  <c r="S8" i="4"/>
  <c r="S7" i="4"/>
  <c r="S6" i="4"/>
  <c r="S42" i="4"/>
  <c r="S44" i="4"/>
  <c r="S23" i="4"/>
  <c r="S19" i="4"/>
  <c r="S69" i="4"/>
  <c r="S65" i="4"/>
  <c r="S50" i="4"/>
  <c r="S48" i="4"/>
  <c r="S5" i="4"/>
  <c r="S22" i="4"/>
  <c r="S63" i="4"/>
  <c r="G43" i="4"/>
  <c r="H44" i="4"/>
  <c r="J42" i="4"/>
  <c r="G42" i="4"/>
  <c r="I40" i="4"/>
  <c r="E111" i="13"/>
  <c r="H40" i="4" s="1"/>
  <c r="E165" i="13"/>
  <c r="G44" i="4"/>
  <c r="G40" i="4"/>
  <c r="E48" i="13"/>
  <c r="H35" i="4"/>
  <c r="E36" i="13"/>
  <c r="H34" i="4"/>
  <c r="E30" i="14"/>
  <c r="K9" i="4"/>
  <c r="J9" i="4"/>
  <c r="I9" i="4"/>
  <c r="H9" i="4"/>
  <c r="L9" i="4"/>
  <c r="G9" i="4"/>
  <c r="Z44" i="4"/>
  <c r="Y44" i="4"/>
  <c r="X44" i="4"/>
  <c r="W44" i="4"/>
  <c r="K70" i="4"/>
  <c r="J70" i="4"/>
  <c r="I70" i="4"/>
  <c r="H70" i="4"/>
  <c r="G70" i="4"/>
  <c r="E70" i="4"/>
  <c r="Q70" i="4"/>
  <c r="F76" i="16"/>
  <c r="E4" i="4"/>
  <c r="E19" i="4"/>
  <c r="Q19" i="4"/>
  <c r="F22" i="16"/>
  <c r="E20" i="4"/>
  <c r="Q20" i="4"/>
  <c r="F23" i="16"/>
  <c r="E21" i="4"/>
  <c r="Q21" i="4"/>
  <c r="F24" i="16"/>
  <c r="E22" i="4"/>
  <c r="Q22" i="4"/>
  <c r="F25" i="16"/>
  <c r="E23" i="4"/>
  <c r="Q23" i="4"/>
  <c r="F26" i="16"/>
  <c r="E24" i="4"/>
  <c r="Q24" i="4"/>
  <c r="F27" i="16"/>
  <c r="E25" i="4"/>
  <c r="Q25" i="4"/>
  <c r="F28" i="16"/>
  <c r="E26" i="4"/>
  <c r="Q26" i="4"/>
  <c r="F29" i="16"/>
  <c r="E27" i="4"/>
  <c r="Q27" i="4"/>
  <c r="F30" i="16"/>
  <c r="E28" i="4"/>
  <c r="Q28" i="4"/>
  <c r="F31" i="16"/>
  <c r="E29" i="4"/>
  <c r="Q29" i="4"/>
  <c r="F32" i="16"/>
  <c r="E32" i="4"/>
  <c r="Q32" i="4"/>
  <c r="F36" i="16"/>
  <c r="E33" i="4"/>
  <c r="Q33" i="4"/>
  <c r="F37" i="16"/>
  <c r="E34" i="4"/>
  <c r="Q34" i="4"/>
  <c r="F38" i="16"/>
  <c r="E35" i="4"/>
  <c r="Q35" i="4"/>
  <c r="F39" i="16"/>
  <c r="E36" i="4"/>
  <c r="Q36" i="4"/>
  <c r="F40" i="16"/>
  <c r="E37" i="4"/>
  <c r="Q37" i="4"/>
  <c r="F41" i="16"/>
  <c r="E38" i="4"/>
  <c r="Q38" i="4"/>
  <c r="F42" i="16"/>
  <c r="E39" i="4"/>
  <c r="T39" i="4" s="1"/>
  <c r="E40" i="4"/>
  <c r="E41" i="4"/>
  <c r="E42" i="4"/>
  <c r="Q42" i="4"/>
  <c r="F46" i="16"/>
  <c r="E43" i="4"/>
  <c r="Q43" i="4"/>
  <c r="F47" i="16"/>
  <c r="E44" i="4"/>
  <c r="Q44" i="4"/>
  <c r="F48" i="16"/>
  <c r="E47" i="4"/>
  <c r="Q47" i="4"/>
  <c r="F52" i="16"/>
  <c r="E48" i="4"/>
  <c r="Q48" i="4"/>
  <c r="F53" i="16"/>
  <c r="E49" i="4"/>
  <c r="Q49" i="4"/>
  <c r="F54" i="16"/>
  <c r="E50" i="4"/>
  <c r="Q50" i="4"/>
  <c r="F55" i="16"/>
  <c r="E52" i="4"/>
  <c r="Q52" i="4"/>
  <c r="F57" i="16"/>
  <c r="E53" i="4"/>
  <c r="Q53" i="4"/>
  <c r="F58" i="16"/>
  <c r="E54" i="4"/>
  <c r="Q54" i="4"/>
  <c r="F59" i="16"/>
  <c r="E55" i="4"/>
  <c r="Q55" i="4"/>
  <c r="F60" i="16"/>
  <c r="E57" i="4"/>
  <c r="Q57" i="4"/>
  <c r="F62" i="16"/>
  <c r="E58" i="4"/>
  <c r="Q58" i="4"/>
  <c r="F63" i="16"/>
  <c r="E59" i="4"/>
  <c r="Q59" i="4"/>
  <c r="F64" i="16"/>
  <c r="E62" i="4"/>
  <c r="E63" i="4"/>
  <c r="Q63" i="4"/>
  <c r="F69" i="16"/>
  <c r="E64" i="4"/>
  <c r="Q64" i="4"/>
  <c r="F70" i="16"/>
  <c r="E65" i="4"/>
  <c r="Q65" i="4"/>
  <c r="F71" i="16"/>
  <c r="E66" i="4"/>
  <c r="Q66" i="4"/>
  <c r="F72" i="16"/>
  <c r="E67" i="4"/>
  <c r="Q67" i="4"/>
  <c r="F73" i="16"/>
  <c r="E68" i="4"/>
  <c r="Q68" i="4"/>
  <c r="F74" i="16"/>
  <c r="E69" i="4"/>
  <c r="Q69" i="4"/>
  <c r="F75" i="16"/>
  <c r="K69" i="4"/>
  <c r="J69" i="4"/>
  <c r="I69" i="4"/>
  <c r="H69" i="4"/>
  <c r="G69" i="4"/>
  <c r="J68" i="4"/>
  <c r="I68" i="4"/>
  <c r="H68" i="4"/>
  <c r="G68" i="4"/>
  <c r="L67" i="4"/>
  <c r="K67" i="4"/>
  <c r="J67" i="4"/>
  <c r="I67" i="4"/>
  <c r="H67" i="4"/>
  <c r="E83" i="15"/>
  <c r="G67" i="4"/>
  <c r="K66" i="4"/>
  <c r="J66" i="4"/>
  <c r="I66" i="4"/>
  <c r="H66" i="4"/>
  <c r="G66" i="4"/>
  <c r="L65" i="4"/>
  <c r="K65" i="4"/>
  <c r="J65" i="4"/>
  <c r="I65" i="4"/>
  <c r="H65" i="4"/>
  <c r="G65" i="4"/>
  <c r="K64" i="4"/>
  <c r="J64" i="4"/>
  <c r="I64" i="4"/>
  <c r="G64" i="4"/>
  <c r="E38" i="15"/>
  <c r="H64" i="4"/>
  <c r="H63" i="4"/>
  <c r="H62" i="4"/>
  <c r="E25" i="15"/>
  <c r="G63" i="4"/>
  <c r="G62" i="4"/>
  <c r="E14" i="15"/>
  <c r="I62" i="4" s="1"/>
  <c r="F132" i="15"/>
  <c r="F117" i="15"/>
  <c r="F103" i="15"/>
  <c r="F90" i="15"/>
  <c r="F73" i="15"/>
  <c r="F59" i="15"/>
  <c r="F43" i="15"/>
  <c r="F28" i="15"/>
  <c r="E13" i="14"/>
  <c r="J59" i="4"/>
  <c r="H59" i="4"/>
  <c r="G59" i="4"/>
  <c r="E198" i="14"/>
  <c r="I59" i="4"/>
  <c r="L58" i="4"/>
  <c r="K58" i="4"/>
  <c r="J58" i="4"/>
  <c r="I58" i="4"/>
  <c r="H58" i="4"/>
  <c r="Y58" i="4"/>
  <c r="F187" i="14"/>
  <c r="K57" i="4"/>
  <c r="J57" i="4"/>
  <c r="I57" i="4"/>
  <c r="G57" i="4"/>
  <c r="E167" i="14"/>
  <c r="H57" i="4"/>
  <c r="M56" i="4"/>
  <c r="L56" i="4"/>
  <c r="K56" i="4"/>
  <c r="J56" i="4"/>
  <c r="I56" i="4"/>
  <c r="G56" i="4"/>
  <c r="E150" i="14"/>
  <c r="H56" i="4"/>
  <c r="F157" i="14"/>
  <c r="L55" i="4"/>
  <c r="K55" i="4"/>
  <c r="J55" i="4"/>
  <c r="I55" i="4"/>
  <c r="G55" i="4"/>
  <c r="E134" i="14"/>
  <c r="H55" i="4"/>
  <c r="O70" i="4"/>
  <c r="H76" i="16"/>
  <c r="N70" i="4"/>
  <c r="G76" i="16"/>
  <c r="O68" i="4"/>
  <c r="H74" i="16"/>
  <c r="N68" i="4"/>
  <c r="G74" i="16"/>
  <c r="N67" i="4"/>
  <c r="G73" i="16"/>
  <c r="O67" i="4"/>
  <c r="H73" i="16"/>
  <c r="N66" i="4"/>
  <c r="G72" i="16"/>
  <c r="O66" i="4"/>
  <c r="O64" i="4"/>
  <c r="N64" i="4"/>
  <c r="G70" i="16"/>
  <c r="N63" i="4"/>
  <c r="G69" i="16"/>
  <c r="O63" i="4"/>
  <c r="H69" i="16"/>
  <c r="Y59" i="4"/>
  <c r="AA59" i="4"/>
  <c r="Z59" i="4"/>
  <c r="AA58" i="4"/>
  <c r="Z58" i="4"/>
  <c r="X58" i="4"/>
  <c r="J63" i="16"/>
  <c r="K63" i="16"/>
  <c r="N58" i="4"/>
  <c r="G63" i="16"/>
  <c r="O58" i="4"/>
  <c r="H63" i="16"/>
  <c r="L63" i="16"/>
  <c r="I63" i="16"/>
  <c r="Z57" i="4"/>
  <c r="W57" i="4"/>
  <c r="Y57" i="4"/>
  <c r="AA57" i="4"/>
  <c r="W56" i="4"/>
  <c r="Y56" i="4"/>
  <c r="AA56" i="4"/>
  <c r="Z56" i="4"/>
  <c r="W55" i="4"/>
  <c r="AA55" i="4"/>
  <c r="Z55" i="4"/>
  <c r="Y55" i="4"/>
  <c r="O56" i="4"/>
  <c r="H61" i="16"/>
  <c r="N56" i="4"/>
  <c r="G61" i="16"/>
  <c r="N57" i="4"/>
  <c r="G62" i="16"/>
  <c r="O57" i="4"/>
  <c r="H62" i="16"/>
  <c r="N55" i="4"/>
  <c r="G60" i="16"/>
  <c r="O55" i="4"/>
  <c r="H60" i="16"/>
  <c r="N59" i="4"/>
  <c r="G64" i="16"/>
  <c r="O59" i="4"/>
  <c r="H64" i="16"/>
  <c r="N69" i="4"/>
  <c r="G75" i="16"/>
  <c r="O69" i="4"/>
  <c r="H75" i="16"/>
  <c r="N65" i="4"/>
  <c r="G71" i="16"/>
  <c r="O65" i="4"/>
  <c r="H71" i="16"/>
  <c r="H70" i="16"/>
  <c r="H72" i="16"/>
  <c r="W70" i="4"/>
  <c r="F76" i="15"/>
  <c r="X59" i="4"/>
  <c r="F120" i="15"/>
  <c r="O76" i="16"/>
  <c r="F105" i="15"/>
  <c r="O75" i="16"/>
  <c r="F30" i="15"/>
  <c r="O70" i="16"/>
  <c r="F18" i="15"/>
  <c r="O69" i="16"/>
  <c r="X70" i="4"/>
  <c r="Y70" i="4"/>
  <c r="Z70" i="4"/>
  <c r="AA70" i="4"/>
  <c r="X68" i="4"/>
  <c r="Z69" i="4"/>
  <c r="W69" i="4"/>
  <c r="X69" i="4"/>
  <c r="Y69" i="4"/>
  <c r="Z68" i="4"/>
  <c r="Y68" i="4"/>
  <c r="Z67" i="4"/>
  <c r="W67" i="4"/>
  <c r="Y67" i="4"/>
  <c r="X67" i="4"/>
  <c r="AA67" i="4"/>
  <c r="Y66" i="4"/>
  <c r="W66" i="4"/>
  <c r="X66" i="4"/>
  <c r="Z66" i="4"/>
  <c r="AA66" i="4"/>
  <c r="K72" i="16"/>
  <c r="X65" i="4"/>
  <c r="AA65" i="4"/>
  <c r="Y65" i="4"/>
  <c r="Z65" i="4"/>
  <c r="W65" i="4"/>
  <c r="AA64" i="4"/>
  <c r="W64" i="4"/>
  <c r="X64" i="4"/>
  <c r="Z64" i="4"/>
  <c r="Y64" i="4"/>
  <c r="Y63" i="4"/>
  <c r="X63" i="4"/>
  <c r="AA63" i="4"/>
  <c r="Z63" i="4"/>
  <c r="W63" i="4"/>
  <c r="L64" i="16"/>
  <c r="X57" i="4"/>
  <c r="X56" i="4"/>
  <c r="X55" i="4"/>
  <c r="G54" i="4"/>
  <c r="L54" i="4"/>
  <c r="K54" i="4"/>
  <c r="J54" i="4"/>
  <c r="I54" i="4"/>
  <c r="H54" i="4"/>
  <c r="W54" i="4"/>
  <c r="F122" i="14"/>
  <c r="J53" i="4"/>
  <c r="H53" i="4"/>
  <c r="G53" i="4"/>
  <c r="E104" i="14"/>
  <c r="I53" i="4"/>
  <c r="J52" i="4"/>
  <c r="I52" i="4"/>
  <c r="E89" i="14"/>
  <c r="H52" i="4"/>
  <c r="E87" i="14"/>
  <c r="G52" i="4"/>
  <c r="J51" i="4"/>
  <c r="H51" i="4"/>
  <c r="G51" i="4"/>
  <c r="E74" i="14"/>
  <c r="I51" i="4"/>
  <c r="Z51" i="4"/>
  <c r="I49" i="4"/>
  <c r="J49" i="4"/>
  <c r="H50" i="4"/>
  <c r="E58" i="14"/>
  <c r="G50" i="4"/>
  <c r="E44" i="14"/>
  <c r="H49" i="4"/>
  <c r="K49" i="4"/>
  <c r="G49" i="4"/>
  <c r="K48" i="4"/>
  <c r="J48" i="4"/>
  <c r="H48" i="4"/>
  <c r="G48" i="4"/>
  <c r="I48" i="4"/>
  <c r="L47" i="4"/>
  <c r="K47" i="4"/>
  <c r="J47" i="4"/>
  <c r="I47" i="4"/>
  <c r="G47" i="4"/>
  <c r="H47" i="4"/>
  <c r="F201" i="14"/>
  <c r="F140" i="14"/>
  <c r="F107" i="14"/>
  <c r="F77" i="14"/>
  <c r="F61" i="14"/>
  <c r="F49" i="14"/>
  <c r="F34" i="14"/>
  <c r="F19" i="14"/>
  <c r="L76" i="16"/>
  <c r="M76" i="16"/>
  <c r="I76" i="16"/>
  <c r="J76" i="16"/>
  <c r="K76" i="16"/>
  <c r="I75" i="16"/>
  <c r="K75" i="16"/>
  <c r="J75" i="16"/>
  <c r="L75" i="16"/>
  <c r="L74" i="16"/>
  <c r="K74" i="16"/>
  <c r="J74" i="16"/>
  <c r="L73" i="16"/>
  <c r="K73" i="16"/>
  <c r="J73" i="16"/>
  <c r="I73" i="16"/>
  <c r="L72" i="16"/>
  <c r="I72" i="16"/>
  <c r="J72" i="16"/>
  <c r="M71" i="16"/>
  <c r="L71" i="16"/>
  <c r="I71" i="16"/>
  <c r="J71" i="16"/>
  <c r="K71" i="16"/>
  <c r="I70" i="16"/>
  <c r="K70" i="16"/>
  <c r="M70" i="16"/>
  <c r="L70" i="16"/>
  <c r="J70" i="16"/>
  <c r="L69" i="16"/>
  <c r="I69" i="16"/>
  <c r="M69" i="16"/>
  <c r="J69" i="16"/>
  <c r="K69" i="16"/>
  <c r="M63" i="16"/>
  <c r="Z54" i="4"/>
  <c r="AA54" i="4"/>
  <c r="Y54" i="4"/>
  <c r="O54" i="4"/>
  <c r="H59" i="16"/>
  <c r="N54" i="4"/>
  <c r="G59" i="16"/>
  <c r="W53" i="4"/>
  <c r="Z53" i="4"/>
  <c r="AA53" i="4"/>
  <c r="Y53" i="4"/>
  <c r="W52" i="4"/>
  <c r="AA52" i="4"/>
  <c r="Y52" i="4"/>
  <c r="Z52" i="4"/>
  <c r="AA51" i="4"/>
  <c r="Y51" i="4"/>
  <c r="AA50" i="4"/>
  <c r="Z50" i="4"/>
  <c r="Y50" i="4"/>
  <c r="Z49" i="4"/>
  <c r="X49" i="4"/>
  <c r="Y49" i="4"/>
  <c r="Y48" i="4"/>
  <c r="Z48" i="4"/>
  <c r="W47" i="4"/>
  <c r="L60" i="16"/>
  <c r="K61" i="16"/>
  <c r="I62" i="16"/>
  <c r="K62" i="16"/>
  <c r="O52" i="4"/>
  <c r="H57" i="16"/>
  <c r="N52" i="4"/>
  <c r="G57" i="16"/>
  <c r="L61" i="16"/>
  <c r="M64" i="16"/>
  <c r="L62" i="16"/>
  <c r="N51" i="4"/>
  <c r="G56" i="16"/>
  <c r="O51" i="4"/>
  <c r="H56" i="16"/>
  <c r="M60" i="16"/>
  <c r="K60" i="16"/>
  <c r="I60" i="16"/>
  <c r="I61" i="16"/>
  <c r="M62" i="16"/>
  <c r="N53" i="4"/>
  <c r="G58" i="16"/>
  <c r="O53" i="4"/>
  <c r="H58" i="16"/>
  <c r="J62" i="16"/>
  <c r="N47" i="4"/>
  <c r="G52" i="16"/>
  <c r="O47" i="4"/>
  <c r="H52" i="16"/>
  <c r="O49" i="4"/>
  <c r="H54" i="16"/>
  <c r="N49" i="4"/>
  <c r="G54" i="16"/>
  <c r="J60" i="16"/>
  <c r="J61" i="16"/>
  <c r="M61" i="16"/>
  <c r="J64" i="16"/>
  <c r="K64" i="16"/>
  <c r="O50" i="4"/>
  <c r="H55" i="16"/>
  <c r="N50" i="4"/>
  <c r="G55" i="16"/>
  <c r="O48" i="4"/>
  <c r="H53" i="16"/>
  <c r="N48" i="4"/>
  <c r="G53" i="16"/>
  <c r="O73" i="16"/>
  <c r="AA49" i="4"/>
  <c r="O64" i="16"/>
  <c r="F189" i="14"/>
  <c r="T58" i="4"/>
  <c r="F92" i="15"/>
  <c r="O74" i="16"/>
  <c r="F61" i="15"/>
  <c r="O72" i="16"/>
  <c r="F46" i="15"/>
  <c r="O71" i="16"/>
  <c r="D64" i="4"/>
  <c r="T59" i="4"/>
  <c r="D59" i="4"/>
  <c r="D58" i="4"/>
  <c r="F174" i="14"/>
  <c r="O63" i="16"/>
  <c r="F159" i="14"/>
  <c r="O62" i="16"/>
  <c r="D57" i="4"/>
  <c r="D56" i="4"/>
  <c r="F142" i="14"/>
  <c r="O61" i="16"/>
  <c r="D55" i="4"/>
  <c r="F126" i="14"/>
  <c r="O60" i="16"/>
  <c r="D69" i="4"/>
  <c r="T70" i="4"/>
  <c r="E120" i="15"/>
  <c r="D70" i="4"/>
  <c r="D68" i="4"/>
  <c r="T68" i="4"/>
  <c r="T69" i="4"/>
  <c r="E105" i="15"/>
  <c r="E61" i="15"/>
  <c r="D67" i="4"/>
  <c r="E92" i="15"/>
  <c r="T66" i="4"/>
  <c r="E76" i="15"/>
  <c r="T67" i="4"/>
  <c r="D66" i="4"/>
  <c r="D63" i="4"/>
  <c r="T64" i="4"/>
  <c r="D65" i="4"/>
  <c r="T65" i="4"/>
  <c r="E46" i="15"/>
  <c r="T63" i="4"/>
  <c r="E30" i="15"/>
  <c r="E18" i="15"/>
  <c r="E189" i="14"/>
  <c r="E174" i="14"/>
  <c r="T56" i="4"/>
  <c r="E159" i="14"/>
  <c r="T57" i="4"/>
  <c r="E142" i="14"/>
  <c r="F93" i="14"/>
  <c r="E126" i="14"/>
  <c r="T55" i="4"/>
  <c r="F172" i="14"/>
  <c r="X54" i="4"/>
  <c r="X53" i="4"/>
  <c r="X52" i="4"/>
  <c r="J57" i="16"/>
  <c r="X51" i="4"/>
  <c r="W51" i="4"/>
  <c r="W50" i="4"/>
  <c r="X50" i="4"/>
  <c r="I55" i="16"/>
  <c r="Y47" i="4"/>
  <c r="AA48" i="4"/>
  <c r="X48" i="4"/>
  <c r="W48" i="4"/>
  <c r="I53" i="16"/>
  <c r="Z47" i="4"/>
  <c r="X47" i="4"/>
  <c r="AA47" i="4"/>
  <c r="E154" i="13"/>
  <c r="H43" i="4"/>
  <c r="E141" i="13"/>
  <c r="I42" i="4"/>
  <c r="E139" i="13"/>
  <c r="H42" i="4"/>
  <c r="L41" i="4"/>
  <c r="K41" i="4"/>
  <c r="J41" i="4"/>
  <c r="I41" i="4"/>
  <c r="H41" i="4"/>
  <c r="G41" i="4"/>
  <c r="H28" i="4"/>
  <c r="E97" i="13"/>
  <c r="G39" i="4"/>
  <c r="E86" i="13"/>
  <c r="H38" i="4"/>
  <c r="G38" i="4"/>
  <c r="G37" i="4"/>
  <c r="E74" i="13"/>
  <c r="H37" i="4"/>
  <c r="I59" i="16"/>
  <c r="K59" i="16"/>
  <c r="M59" i="16"/>
  <c r="L59" i="16"/>
  <c r="J59" i="16"/>
  <c r="K58" i="16"/>
  <c r="M56" i="16"/>
  <c r="K55" i="16"/>
  <c r="J55" i="16"/>
  <c r="M55" i="16"/>
  <c r="L55" i="16"/>
  <c r="M53" i="16"/>
  <c r="J53" i="16"/>
  <c r="L53" i="16"/>
  <c r="K53" i="16"/>
  <c r="O43" i="4"/>
  <c r="H47" i="16"/>
  <c r="N43" i="4"/>
  <c r="G47" i="16"/>
  <c r="N38" i="4"/>
  <c r="G42" i="16"/>
  <c r="O38" i="4"/>
  <c r="H42" i="16"/>
  <c r="N37" i="4"/>
  <c r="G41" i="16"/>
  <c r="O37" i="4"/>
  <c r="H41" i="16"/>
  <c r="M54" i="16"/>
  <c r="L56" i="16"/>
  <c r="I57" i="16"/>
  <c r="J54" i="16"/>
  <c r="K56" i="16"/>
  <c r="K57" i="16"/>
  <c r="L58" i="16"/>
  <c r="I58" i="16"/>
  <c r="J58" i="16"/>
  <c r="M58" i="16"/>
  <c r="L52" i="16"/>
  <c r="K52" i="16"/>
  <c r="M52" i="16"/>
  <c r="I52" i="16"/>
  <c r="J52" i="16"/>
  <c r="J56" i="16"/>
  <c r="I56" i="16"/>
  <c r="M57" i="16"/>
  <c r="L57" i="16"/>
  <c r="L54" i="16"/>
  <c r="K54" i="16"/>
  <c r="N42" i="4"/>
  <c r="G46" i="16"/>
  <c r="O42" i="4"/>
  <c r="H46" i="16"/>
  <c r="K48" i="16"/>
  <c r="N44" i="4"/>
  <c r="G48" i="16"/>
  <c r="L48" i="16"/>
  <c r="O44" i="4"/>
  <c r="H48" i="16"/>
  <c r="J48" i="16"/>
  <c r="I48" i="16"/>
  <c r="Z43" i="4"/>
  <c r="Z42" i="4"/>
  <c r="D52" i="4"/>
  <c r="N69" i="16"/>
  <c r="N72" i="16"/>
  <c r="X39" i="4"/>
  <c r="Y39" i="4"/>
  <c r="AA39" i="4"/>
  <c r="W39" i="4"/>
  <c r="Z39" i="4"/>
  <c r="Y38" i="4"/>
  <c r="X38" i="4"/>
  <c r="Z38" i="4"/>
  <c r="X43" i="4"/>
  <c r="W43" i="4"/>
  <c r="Y43" i="4"/>
  <c r="J47" i="16"/>
  <c r="X37" i="4"/>
  <c r="W37" i="4"/>
  <c r="Y37" i="4"/>
  <c r="Z37" i="4"/>
  <c r="L41" i="16"/>
  <c r="N63" i="16"/>
  <c r="N71" i="16"/>
  <c r="N75" i="16"/>
  <c r="N62" i="16"/>
  <c r="N73" i="16"/>
  <c r="N74" i="16"/>
  <c r="N76" i="16"/>
  <c r="N70" i="16"/>
  <c r="N64" i="16"/>
  <c r="N61" i="16"/>
  <c r="N60" i="16"/>
  <c r="D54" i="4"/>
  <c r="F109" i="14"/>
  <c r="O59" i="16"/>
  <c r="D53" i="4"/>
  <c r="F95" i="14"/>
  <c r="O58" i="16"/>
  <c r="F80" i="14"/>
  <c r="O57" i="16"/>
  <c r="F51" i="14"/>
  <c r="O55" i="16"/>
  <c r="D51" i="4"/>
  <c r="F65" i="14"/>
  <c r="O56" i="16"/>
  <c r="D50" i="4"/>
  <c r="D49" i="4"/>
  <c r="F36" i="14"/>
  <c r="O54" i="16"/>
  <c r="F21" i="14"/>
  <c r="O53" i="16"/>
  <c r="D48" i="4"/>
  <c r="D47" i="4"/>
  <c r="F5" i="14"/>
  <c r="O52" i="16"/>
  <c r="Y42" i="4"/>
  <c r="X42" i="4"/>
  <c r="AA42" i="4"/>
  <c r="W42" i="4"/>
  <c r="T54" i="4"/>
  <c r="E109" i="14"/>
  <c r="E95" i="14"/>
  <c r="E80" i="14"/>
  <c r="T53" i="4"/>
  <c r="T52" i="4"/>
  <c r="T51" i="4"/>
  <c r="E65" i="14"/>
  <c r="E36" i="14"/>
  <c r="T49" i="4"/>
  <c r="E51" i="14"/>
  <c r="E5" i="14"/>
  <c r="T50" i="4"/>
  <c r="T47" i="4"/>
  <c r="T48" i="4"/>
  <c r="E21" i="14"/>
  <c r="W38" i="4"/>
  <c r="I42" i="16"/>
  <c r="E60" i="13"/>
  <c r="G36" i="4"/>
  <c r="G35" i="4"/>
  <c r="G34" i="4"/>
  <c r="F38" i="13"/>
  <c r="L47" i="16"/>
  <c r="K47" i="16"/>
  <c r="I47" i="16"/>
  <c r="K46" i="16"/>
  <c r="L46" i="16"/>
  <c r="I46" i="16"/>
  <c r="M46" i="16"/>
  <c r="J46" i="16"/>
  <c r="K43" i="16"/>
  <c r="K42" i="16"/>
  <c r="L42" i="16"/>
  <c r="J42" i="16"/>
  <c r="K41" i="16"/>
  <c r="I41" i="16"/>
  <c r="J41" i="16"/>
  <c r="N36" i="4"/>
  <c r="G40" i="16"/>
  <c r="O36" i="4"/>
  <c r="H40" i="16"/>
  <c r="O35" i="4"/>
  <c r="H39" i="16"/>
  <c r="N35" i="4"/>
  <c r="G39" i="16"/>
  <c r="N34" i="4"/>
  <c r="G38" i="16"/>
  <c r="O34" i="4"/>
  <c r="H38" i="16"/>
  <c r="X34" i="4"/>
  <c r="W34" i="4"/>
  <c r="Y34" i="4"/>
  <c r="Z34" i="4"/>
  <c r="W35" i="4"/>
  <c r="X35" i="4"/>
  <c r="Z35" i="4"/>
  <c r="Y35" i="4"/>
  <c r="Z36" i="4"/>
  <c r="W36" i="4"/>
  <c r="Y36" i="4"/>
  <c r="X36" i="4"/>
  <c r="F131" i="13"/>
  <c r="O46" i="16"/>
  <c r="N57" i="16"/>
  <c r="N55" i="16"/>
  <c r="N54" i="16"/>
  <c r="N59" i="16"/>
  <c r="N58" i="16"/>
  <c r="N56" i="16"/>
  <c r="N53" i="16"/>
  <c r="N52" i="16"/>
  <c r="F158" i="13"/>
  <c r="O48" i="16"/>
  <c r="D44" i="4"/>
  <c r="F146" i="13"/>
  <c r="O47" i="16"/>
  <c r="D42" i="4"/>
  <c r="F78" i="13"/>
  <c r="O42" i="16"/>
  <c r="F66" i="13"/>
  <c r="O41" i="16"/>
  <c r="F28" i="13"/>
  <c r="O38" i="16"/>
  <c r="E131" i="13"/>
  <c r="T38" i="4"/>
  <c r="E78" i="13"/>
  <c r="E66" i="13"/>
  <c r="T37" i="4"/>
  <c r="E24" i="13"/>
  <c r="G33" i="4"/>
  <c r="G32" i="4"/>
  <c r="E13" i="13"/>
  <c r="H32" i="4"/>
  <c r="K40" i="16"/>
  <c r="I40" i="16"/>
  <c r="L40" i="16"/>
  <c r="J40" i="16"/>
  <c r="I39" i="16"/>
  <c r="K39" i="16"/>
  <c r="L39" i="16"/>
  <c r="J39" i="16"/>
  <c r="J38" i="16"/>
  <c r="L38" i="16"/>
  <c r="K38" i="16"/>
  <c r="I38" i="16"/>
  <c r="O33" i="4"/>
  <c r="H37" i="16"/>
  <c r="N33" i="4"/>
  <c r="G37" i="16"/>
  <c r="N32" i="4"/>
  <c r="G36" i="16"/>
  <c r="O32" i="4"/>
  <c r="H36" i="16"/>
  <c r="O36" i="16"/>
  <c r="Y33" i="4"/>
  <c r="Z33" i="4"/>
  <c r="X33" i="4"/>
  <c r="W33" i="4"/>
  <c r="J37" i="16"/>
  <c r="Z32" i="4"/>
  <c r="Y32" i="4"/>
  <c r="X32" i="4"/>
  <c r="W32" i="4"/>
  <c r="D43" i="4"/>
  <c r="D38" i="4"/>
  <c r="N42" i="16"/>
  <c r="D37" i="4"/>
  <c r="N41" i="16"/>
  <c r="F53" i="13"/>
  <c r="O40" i="16"/>
  <c r="F40" i="13"/>
  <c r="O39" i="16"/>
  <c r="D34" i="4"/>
  <c r="T44" i="4"/>
  <c r="E158" i="13"/>
  <c r="T43" i="4"/>
  <c r="E146" i="13"/>
  <c r="T42" i="4"/>
  <c r="E53" i="13"/>
  <c r="T36" i="4"/>
  <c r="F5" i="13"/>
  <c r="F168" i="13"/>
  <c r="F156" i="13"/>
  <c r="F144" i="13"/>
  <c r="F129" i="13"/>
  <c r="F88" i="13"/>
  <c r="F76" i="13"/>
  <c r="F62" i="13"/>
  <c r="F50" i="13"/>
  <c r="F26" i="13"/>
  <c r="F15" i="13"/>
  <c r="K29" i="4"/>
  <c r="J29" i="4"/>
  <c r="I29" i="4"/>
  <c r="H29" i="4"/>
  <c r="G29" i="4"/>
  <c r="J28" i="4"/>
  <c r="I28" i="4"/>
  <c r="G28" i="4"/>
  <c r="K27" i="4"/>
  <c r="J27" i="4"/>
  <c r="I27" i="4"/>
  <c r="H27" i="4"/>
  <c r="G27" i="4"/>
  <c r="L37" i="16"/>
  <c r="K37" i="16"/>
  <c r="I37" i="16"/>
  <c r="J36" i="16"/>
  <c r="K36" i="16"/>
  <c r="L36" i="16"/>
  <c r="I36" i="16"/>
  <c r="O29" i="4"/>
  <c r="H32" i="16"/>
  <c r="N29" i="4"/>
  <c r="G32" i="16"/>
  <c r="O28" i="4"/>
  <c r="H31" i="16"/>
  <c r="N28" i="4"/>
  <c r="G31" i="16"/>
  <c r="O27" i="4"/>
  <c r="H30" i="16"/>
  <c r="N27" i="4"/>
  <c r="D27" i="4"/>
  <c r="W28" i="4"/>
  <c r="X28" i="4"/>
  <c r="Z28" i="4"/>
  <c r="AA28" i="4"/>
  <c r="Y28" i="4"/>
  <c r="F17" i="13"/>
  <c r="O37" i="16"/>
  <c r="D33" i="4"/>
  <c r="D36" i="4"/>
  <c r="N48" i="16"/>
  <c r="N47" i="16"/>
  <c r="N46" i="16"/>
  <c r="N40" i="16"/>
  <c r="D35" i="4"/>
  <c r="T35" i="4"/>
  <c r="E40" i="13"/>
  <c r="E17" i="13"/>
  <c r="E28" i="13"/>
  <c r="T34" i="4"/>
  <c r="T33" i="4"/>
  <c r="T32" i="4"/>
  <c r="E5" i="13"/>
  <c r="Y29" i="4"/>
  <c r="X29" i="4"/>
  <c r="Z29" i="4"/>
  <c r="W29" i="4"/>
  <c r="AA29" i="4"/>
  <c r="O32" i="16"/>
  <c r="O31" i="16"/>
  <c r="W27" i="4"/>
  <c r="X27" i="4"/>
  <c r="Y27" i="4"/>
  <c r="Z27" i="4"/>
  <c r="O30" i="16"/>
  <c r="K26" i="4"/>
  <c r="J26" i="4"/>
  <c r="I26" i="4"/>
  <c r="H26" i="4"/>
  <c r="G26" i="4"/>
  <c r="K25" i="4"/>
  <c r="J25" i="4"/>
  <c r="I25" i="4"/>
  <c r="H25" i="4"/>
  <c r="G25" i="4"/>
  <c r="F103" i="12"/>
  <c r="M32" i="16"/>
  <c r="K32" i="16"/>
  <c r="L32" i="16"/>
  <c r="J32" i="16"/>
  <c r="I32" i="16"/>
  <c r="L31" i="16"/>
  <c r="K31" i="16"/>
  <c r="M31" i="16"/>
  <c r="J31" i="16"/>
  <c r="I31" i="16"/>
  <c r="J30" i="16"/>
  <c r="L30" i="16"/>
  <c r="I30" i="16"/>
  <c r="K30" i="16"/>
  <c r="G30" i="16"/>
  <c r="N25" i="4"/>
  <c r="G28" i="16"/>
  <c r="O25" i="4"/>
  <c r="H28" i="16"/>
  <c r="O26" i="4"/>
  <c r="H29" i="16"/>
  <c r="N26" i="4"/>
  <c r="G29" i="16"/>
  <c r="N38" i="16"/>
  <c r="N37" i="16"/>
  <c r="N36" i="16"/>
  <c r="N39" i="16"/>
  <c r="D32" i="4"/>
  <c r="D29" i="4"/>
  <c r="D28" i="4"/>
  <c r="F135" i="12"/>
  <c r="F149" i="12"/>
  <c r="T29" i="4"/>
  <c r="F121" i="12"/>
  <c r="O29" i="16"/>
  <c r="E149" i="12"/>
  <c r="E121" i="12"/>
  <c r="T27" i="4"/>
  <c r="Z26" i="4"/>
  <c r="Y26" i="4"/>
  <c r="W26" i="4"/>
  <c r="X26" i="4"/>
  <c r="K29" i="16"/>
  <c r="Z25" i="4"/>
  <c r="W25" i="4"/>
  <c r="X25" i="4"/>
  <c r="Y25" i="4"/>
  <c r="L28" i="16"/>
  <c r="O28" i="16"/>
  <c r="K24" i="4"/>
  <c r="J24" i="4"/>
  <c r="I24" i="4"/>
  <c r="H24" i="4"/>
  <c r="G24" i="4"/>
  <c r="K23" i="4"/>
  <c r="J23" i="4"/>
  <c r="I23" i="4"/>
  <c r="H23" i="4"/>
  <c r="G23" i="4"/>
  <c r="K22" i="4"/>
  <c r="I22" i="4"/>
  <c r="H22" i="4"/>
  <c r="G22" i="4"/>
  <c r="E57" i="12"/>
  <c r="J22" i="4"/>
  <c r="F59" i="12"/>
  <c r="L21" i="4"/>
  <c r="K21" i="4"/>
  <c r="J21" i="4"/>
  <c r="I21" i="4"/>
  <c r="H21" i="4"/>
  <c r="G21" i="4"/>
  <c r="J20" i="4"/>
  <c r="I20" i="4"/>
  <c r="H20" i="4"/>
  <c r="G20" i="4"/>
  <c r="J19" i="4"/>
  <c r="I19" i="4"/>
  <c r="H19" i="4"/>
  <c r="G19" i="4"/>
  <c r="F161" i="12"/>
  <c r="F147" i="12"/>
  <c r="F133" i="12"/>
  <c r="F117" i="12"/>
  <c r="F89" i="12"/>
  <c r="F75" i="12"/>
  <c r="F44" i="12"/>
  <c r="F29" i="12"/>
  <c r="F16" i="12"/>
  <c r="I16" i="4"/>
  <c r="E196" i="3"/>
  <c r="J16" i="4"/>
  <c r="H16" i="4"/>
  <c r="G16" i="4"/>
  <c r="F198" i="3"/>
  <c r="L15" i="4"/>
  <c r="K15" i="4"/>
  <c r="J15" i="4"/>
  <c r="I15" i="4"/>
  <c r="H15" i="4"/>
  <c r="G15" i="4"/>
  <c r="F184" i="3"/>
  <c r="L14" i="4"/>
  <c r="K14" i="4"/>
  <c r="J14" i="4"/>
  <c r="I14" i="4"/>
  <c r="H14" i="4"/>
  <c r="G14" i="4"/>
  <c r="F169" i="3"/>
  <c r="M13" i="4"/>
  <c r="L13" i="4"/>
  <c r="K13" i="4"/>
  <c r="J13" i="4"/>
  <c r="I13" i="4"/>
  <c r="H13" i="4"/>
  <c r="G13" i="4"/>
  <c r="F154" i="3"/>
  <c r="J12" i="4"/>
  <c r="I12" i="4"/>
  <c r="H12" i="4"/>
  <c r="G12" i="4"/>
  <c r="F136" i="3"/>
  <c r="J11" i="4"/>
  <c r="I11" i="4"/>
  <c r="H11" i="4"/>
  <c r="G11" i="4"/>
  <c r="F123" i="3"/>
  <c r="L10" i="4"/>
  <c r="K10" i="4"/>
  <c r="J10" i="4"/>
  <c r="I10" i="4"/>
  <c r="H10" i="4"/>
  <c r="G10" i="4"/>
  <c r="F110" i="3"/>
  <c r="F93" i="3"/>
  <c r="L8" i="4"/>
  <c r="K8" i="4"/>
  <c r="J8" i="4"/>
  <c r="I8" i="4"/>
  <c r="H8" i="4"/>
  <c r="G8" i="4"/>
  <c r="F78" i="3"/>
  <c r="E62" i="3"/>
  <c r="K7" i="4"/>
  <c r="J7" i="4"/>
  <c r="I7" i="4"/>
  <c r="H7" i="4"/>
  <c r="G7" i="4"/>
  <c r="F63" i="3"/>
  <c r="K6" i="4"/>
  <c r="J6" i="4"/>
  <c r="I6" i="4"/>
  <c r="H6" i="4"/>
  <c r="G6" i="4"/>
  <c r="F48" i="3"/>
  <c r="F34" i="3"/>
  <c r="F19" i="3"/>
  <c r="L5" i="4"/>
  <c r="K5" i="4"/>
  <c r="J5" i="4"/>
  <c r="I5" i="4"/>
  <c r="H5" i="4"/>
  <c r="G5" i="4"/>
  <c r="M4" i="4"/>
  <c r="L4" i="4"/>
  <c r="K4" i="4"/>
  <c r="J4" i="4"/>
  <c r="I4" i="4"/>
  <c r="H4" i="4"/>
  <c r="G4" i="4"/>
  <c r="I29" i="16"/>
  <c r="L29" i="16"/>
  <c r="J29" i="16"/>
  <c r="J28" i="16"/>
  <c r="K28" i="16"/>
  <c r="I28" i="16"/>
  <c r="O24" i="4"/>
  <c r="H27" i="16"/>
  <c r="N24" i="4"/>
  <c r="G27" i="16"/>
  <c r="O21" i="4"/>
  <c r="H24" i="16"/>
  <c r="N21" i="4"/>
  <c r="G24" i="16"/>
  <c r="N20" i="4"/>
  <c r="G23" i="16"/>
  <c r="O20" i="4"/>
  <c r="H23" i="16"/>
  <c r="Z16" i="4"/>
  <c r="AA16" i="4"/>
  <c r="Z15" i="4"/>
  <c r="AA15" i="4"/>
  <c r="O15" i="4"/>
  <c r="H17" i="16"/>
  <c r="N15" i="4"/>
  <c r="Z14" i="4"/>
  <c r="AA14" i="4"/>
  <c r="O14" i="4"/>
  <c r="H16" i="16"/>
  <c r="N14" i="4"/>
  <c r="G16" i="16"/>
  <c r="AA13" i="4"/>
  <c r="Z13" i="4"/>
  <c r="W13" i="4"/>
  <c r="O13" i="4"/>
  <c r="H15" i="16"/>
  <c r="N13" i="4"/>
  <c r="G15" i="16"/>
  <c r="AA12" i="4"/>
  <c r="Z12" i="4"/>
  <c r="N12" i="4"/>
  <c r="G14" i="16"/>
  <c r="O12" i="4"/>
  <c r="H14" i="16"/>
  <c r="AA11" i="4"/>
  <c r="Z11" i="4"/>
  <c r="N11" i="4"/>
  <c r="G13" i="16"/>
  <c r="O11" i="4"/>
  <c r="H13" i="16"/>
  <c r="O10" i="4"/>
  <c r="H12" i="16"/>
  <c r="N10" i="4"/>
  <c r="G12" i="16"/>
  <c r="O8" i="4"/>
  <c r="H10" i="16"/>
  <c r="N8" i="4"/>
  <c r="G10" i="16"/>
  <c r="N6" i="4"/>
  <c r="G8" i="16"/>
  <c r="O6" i="4"/>
  <c r="N7" i="4"/>
  <c r="G9" i="16"/>
  <c r="O7" i="4"/>
  <c r="H9" i="16"/>
  <c r="N23" i="4"/>
  <c r="G26" i="16"/>
  <c r="O23" i="4"/>
  <c r="H26" i="16"/>
  <c r="N19" i="4"/>
  <c r="G22" i="16"/>
  <c r="O19" i="4"/>
  <c r="H22" i="16"/>
  <c r="N16" i="4"/>
  <c r="G18" i="16"/>
  <c r="O16" i="4"/>
  <c r="H18" i="16"/>
  <c r="O5" i="4"/>
  <c r="H7" i="16"/>
  <c r="N5" i="4"/>
  <c r="G7" i="16"/>
  <c r="O22" i="4"/>
  <c r="H25" i="16"/>
  <c r="N22" i="4"/>
  <c r="G25" i="16"/>
  <c r="D26" i="4"/>
  <c r="H8" i="16"/>
  <c r="Z22" i="4"/>
  <c r="Y22" i="4"/>
  <c r="AA22" i="4"/>
  <c r="AA8" i="4"/>
  <c r="Z8" i="4"/>
  <c r="N30" i="16"/>
  <c r="AA7" i="4"/>
  <c r="Z7" i="4"/>
  <c r="D25" i="4"/>
  <c r="Z10" i="4"/>
  <c r="N32" i="16"/>
  <c r="Y16" i="4"/>
  <c r="F91" i="12"/>
  <c r="F105" i="12"/>
  <c r="T26" i="4"/>
  <c r="E105" i="12"/>
  <c r="E91" i="12"/>
  <c r="T25" i="4"/>
  <c r="W23" i="4"/>
  <c r="AA24" i="4"/>
  <c r="Z24" i="4"/>
  <c r="X24" i="4"/>
  <c r="Y24" i="4"/>
  <c r="W24" i="4"/>
  <c r="O27" i="16"/>
  <c r="X23" i="4"/>
  <c r="X22" i="4"/>
  <c r="Y23" i="4"/>
  <c r="Z23" i="4"/>
  <c r="O26" i="16"/>
  <c r="W22" i="4"/>
  <c r="AA21" i="4"/>
  <c r="O25" i="16"/>
  <c r="Y21" i="4"/>
  <c r="Z21" i="4"/>
  <c r="X21" i="4"/>
  <c r="W21" i="4"/>
  <c r="O23" i="16"/>
  <c r="O24" i="16"/>
  <c r="Z19" i="4"/>
  <c r="W19" i="4"/>
  <c r="X19" i="4"/>
  <c r="Y19" i="4"/>
  <c r="L22" i="16"/>
  <c r="X20" i="4"/>
  <c r="W20" i="4"/>
  <c r="Y20" i="4"/>
  <c r="Z20" i="4"/>
  <c r="K23" i="16"/>
  <c r="L23" i="16"/>
  <c r="O22" i="16"/>
  <c r="X16" i="4"/>
  <c r="W16" i="4"/>
  <c r="O18" i="16"/>
  <c r="Y15" i="4"/>
  <c r="X15" i="4"/>
  <c r="W15" i="4"/>
  <c r="O17" i="16"/>
  <c r="O12" i="16"/>
  <c r="Y14" i="4"/>
  <c r="X14" i="4"/>
  <c r="W14" i="4"/>
  <c r="O16" i="16"/>
  <c r="Y13" i="4"/>
  <c r="X13" i="4"/>
  <c r="O15" i="16"/>
  <c r="Y12" i="4"/>
  <c r="X12" i="4"/>
  <c r="W12" i="4"/>
  <c r="O14" i="16"/>
  <c r="O13" i="16"/>
  <c r="X11" i="4"/>
  <c r="Y11" i="4"/>
  <c r="M13" i="16"/>
  <c r="I27" i="16"/>
  <c r="M27" i="16"/>
  <c r="J27" i="16"/>
  <c r="L27" i="16"/>
  <c r="K27" i="16"/>
  <c r="L26" i="16"/>
  <c r="K26" i="16"/>
  <c r="I26" i="16"/>
  <c r="J26" i="16"/>
  <c r="M25" i="16"/>
  <c r="L25" i="16"/>
  <c r="K25" i="16"/>
  <c r="I25" i="16"/>
  <c r="J25" i="16"/>
  <c r="M24" i="16"/>
  <c r="I24" i="16"/>
  <c r="L24" i="16"/>
  <c r="J24" i="16"/>
  <c r="K24" i="16"/>
  <c r="I23" i="16"/>
  <c r="J23" i="16"/>
  <c r="J22" i="16"/>
  <c r="I22" i="16"/>
  <c r="K22" i="16"/>
  <c r="M17" i="16"/>
  <c r="J17" i="16"/>
  <c r="I17" i="16"/>
  <c r="D15" i="4"/>
  <c r="K17" i="16"/>
  <c r="L17" i="16"/>
  <c r="G17" i="16"/>
  <c r="L16" i="16"/>
  <c r="K16" i="16"/>
  <c r="J16" i="16"/>
  <c r="M16" i="16"/>
  <c r="L15" i="16"/>
  <c r="M15" i="16"/>
  <c r="K15" i="16"/>
  <c r="J15" i="16"/>
  <c r="I15" i="16"/>
  <c r="I14" i="16"/>
  <c r="J14" i="16"/>
  <c r="K14" i="16"/>
  <c r="L14" i="16"/>
  <c r="L13" i="16"/>
  <c r="J13" i="16"/>
  <c r="K13" i="16"/>
  <c r="L18" i="16"/>
  <c r="M18" i="16"/>
  <c r="I18" i="16"/>
  <c r="K18" i="16"/>
  <c r="J18" i="16"/>
  <c r="D6" i="4"/>
  <c r="D10" i="4"/>
  <c r="D7" i="4"/>
  <c r="D14" i="4"/>
  <c r="D21" i="4"/>
  <c r="D20" i="4"/>
  <c r="D11" i="4"/>
  <c r="D24" i="4"/>
  <c r="D19" i="4"/>
  <c r="D16" i="4"/>
  <c r="D12" i="4"/>
  <c r="D8" i="4"/>
  <c r="D13" i="4"/>
  <c r="D5" i="4"/>
  <c r="D23" i="4"/>
  <c r="D22" i="4"/>
  <c r="F77" i="12"/>
  <c r="F18" i="12"/>
  <c r="F5" i="12"/>
  <c r="F31" i="12"/>
  <c r="F46" i="12"/>
  <c r="F63" i="12"/>
  <c r="T28" i="4"/>
  <c r="E135" i="12"/>
  <c r="E77" i="12"/>
  <c r="E46" i="12"/>
  <c r="T24" i="4"/>
  <c r="E63" i="12"/>
  <c r="T23" i="4"/>
  <c r="T22" i="4"/>
  <c r="F186" i="3"/>
  <c r="F171" i="3"/>
  <c r="F156" i="3"/>
  <c r="F140" i="3"/>
  <c r="F125" i="3"/>
  <c r="F112" i="3"/>
  <c r="F97" i="3"/>
  <c r="T21" i="4"/>
  <c r="E31" i="12"/>
  <c r="T20" i="4"/>
  <c r="E18" i="12"/>
  <c r="E5" i="12"/>
  <c r="T19" i="4"/>
  <c r="T15" i="4"/>
  <c r="T14" i="4"/>
  <c r="T12" i="4"/>
  <c r="T11" i="4"/>
  <c r="T13" i="4"/>
  <c r="E171" i="3"/>
  <c r="E156" i="3"/>
  <c r="E140" i="3"/>
  <c r="E125" i="3"/>
  <c r="E112" i="3"/>
  <c r="AA10" i="4"/>
  <c r="Y10" i="4"/>
  <c r="X10" i="4"/>
  <c r="W10" i="4"/>
  <c r="Y8" i="4"/>
  <c r="X8" i="4"/>
  <c r="W8" i="4"/>
  <c r="O10" i="16"/>
  <c r="AA5" i="4"/>
  <c r="AA6" i="4"/>
  <c r="W5" i="4"/>
  <c r="X5" i="4"/>
  <c r="Y5" i="4"/>
  <c r="Z5" i="4"/>
  <c r="L7" i="16"/>
  <c r="W6" i="4"/>
  <c r="X6" i="4"/>
  <c r="Y6" i="4"/>
  <c r="Z6" i="4"/>
  <c r="L8" i="16"/>
  <c r="W7" i="4"/>
  <c r="X7" i="4"/>
  <c r="Y7" i="4"/>
  <c r="O7" i="16"/>
  <c r="O8" i="16"/>
  <c r="M12" i="16"/>
  <c r="J12" i="16"/>
  <c r="I12" i="16"/>
  <c r="K12" i="16"/>
  <c r="L12" i="16"/>
  <c r="K10" i="16"/>
  <c r="I10" i="16"/>
  <c r="L10" i="16"/>
  <c r="J10" i="16"/>
  <c r="M10" i="16"/>
  <c r="K9" i="16"/>
  <c r="J9" i="16"/>
  <c r="I9" i="16"/>
  <c r="L9" i="16"/>
  <c r="M9" i="16"/>
  <c r="J8" i="16"/>
  <c r="K8" i="16"/>
  <c r="I8" i="16"/>
  <c r="M7" i="16"/>
  <c r="I7" i="16"/>
  <c r="K7" i="16"/>
  <c r="J7" i="16"/>
  <c r="N15" i="16"/>
  <c r="N14" i="16"/>
  <c r="N31" i="16"/>
  <c r="N24" i="16"/>
  <c r="N27" i="16"/>
  <c r="N17" i="16"/>
  <c r="N16" i="16"/>
  <c r="N13" i="16"/>
  <c r="F50" i="3"/>
  <c r="O9" i="16"/>
  <c r="F65" i="3"/>
  <c r="T10" i="4"/>
  <c r="F36" i="3"/>
  <c r="F21" i="3"/>
  <c r="T6" i="4"/>
  <c r="T8" i="4"/>
  <c r="T16" i="4"/>
  <c r="T5" i="4"/>
  <c r="E21" i="3"/>
  <c r="T7" i="4"/>
  <c r="E36" i="3"/>
  <c r="E50" i="3"/>
  <c r="E186" i="3"/>
  <c r="E97" i="3"/>
  <c r="E65" i="3"/>
  <c r="N8" i="16"/>
  <c r="N10" i="16"/>
  <c r="N12" i="16"/>
  <c r="N7" i="16"/>
  <c r="N9" i="16"/>
  <c r="N26" i="16"/>
  <c r="N28" i="16"/>
  <c r="N22" i="16"/>
  <c r="N25" i="16"/>
  <c r="N23" i="16"/>
  <c r="N18" i="16"/>
  <c r="N29" i="16"/>
  <c r="Q41" i="4" l="1"/>
  <c r="F45" i="16" s="1"/>
  <c r="Y41" i="4"/>
  <c r="N41" i="4"/>
  <c r="D41" i="4" s="1"/>
  <c r="F114" i="13"/>
  <c r="AA41" i="4"/>
  <c r="X41" i="4"/>
  <c r="O41" i="4"/>
  <c r="H45" i="16" s="1"/>
  <c r="W41" i="4"/>
  <c r="Z41" i="4"/>
  <c r="L45" i="16" s="1"/>
  <c r="S41" i="4"/>
  <c r="X40" i="4"/>
  <c r="Y40" i="4"/>
  <c r="W40" i="4"/>
  <c r="Z40" i="4"/>
  <c r="O40" i="4"/>
  <c r="H44" i="16" s="1"/>
  <c r="I43" i="16"/>
  <c r="N39" i="4"/>
  <c r="G43" i="16" s="1"/>
  <c r="J43" i="16"/>
  <c r="L43" i="16"/>
  <c r="O43" i="16"/>
  <c r="F90" i="13"/>
  <c r="Q39" i="4"/>
  <c r="F43" i="16" s="1"/>
  <c r="E90" i="13"/>
  <c r="M43" i="16"/>
  <c r="O39" i="4"/>
  <c r="H43" i="16" s="1"/>
  <c r="Q40" i="4"/>
  <c r="F44" i="16" s="1"/>
  <c r="S40" i="4"/>
  <c r="N40" i="4"/>
  <c r="N4" i="4"/>
  <c r="G6" i="16" s="1"/>
  <c r="X4" i="4"/>
  <c r="Z4" i="4"/>
  <c r="O4" i="4"/>
  <c r="H6" i="16" s="1"/>
  <c r="W4" i="4"/>
  <c r="AA4" i="4"/>
  <c r="Y4" i="4"/>
  <c r="Q4" i="4"/>
  <c r="F6" i="16" s="1"/>
  <c r="S4" i="4"/>
  <c r="Z9" i="4"/>
  <c r="W9" i="4"/>
  <c r="Y9" i="4"/>
  <c r="AA9" i="4"/>
  <c r="O9" i="4"/>
  <c r="H11" i="16" s="1"/>
  <c r="X9" i="4"/>
  <c r="K11" i="16" s="1"/>
  <c r="G11" i="16"/>
  <c r="R9" i="4"/>
  <c r="N62" i="4"/>
  <c r="G68" i="16" s="1"/>
  <c r="W62" i="4"/>
  <c r="Z62" i="4"/>
  <c r="X62" i="4"/>
  <c r="O62" i="4"/>
  <c r="H68" i="16" s="1"/>
  <c r="Y62" i="4"/>
  <c r="S62" i="4"/>
  <c r="Q62" i="4"/>
  <c r="F68" i="16" s="1"/>
  <c r="K45" i="16" l="1"/>
  <c r="G45" i="16"/>
  <c r="L68" i="16"/>
  <c r="J44" i="16"/>
  <c r="I44" i="16"/>
  <c r="L44" i="16"/>
  <c r="J45" i="16"/>
  <c r="E116" i="13"/>
  <c r="I45" i="16"/>
  <c r="M45" i="16"/>
  <c r="T41" i="4"/>
  <c r="O45" i="16"/>
  <c r="F116" i="13"/>
  <c r="T40" i="4"/>
  <c r="E102" i="13"/>
  <c r="K44" i="16"/>
  <c r="N43" i="16"/>
  <c r="D39" i="4"/>
  <c r="F102" i="13"/>
  <c r="O44" i="16"/>
  <c r="G44" i="16"/>
  <c r="G80" i="16" s="1"/>
  <c r="D40" i="4"/>
  <c r="K6" i="16"/>
  <c r="T4" i="4"/>
  <c r="D4" i="4"/>
  <c r="E5" i="3"/>
  <c r="M6" i="16"/>
  <c r="L6" i="16"/>
  <c r="J6" i="16"/>
  <c r="I6" i="16"/>
  <c r="F5" i="3"/>
  <c r="O6" i="16"/>
  <c r="I11" i="16"/>
  <c r="L11" i="16"/>
  <c r="E80" i="3"/>
  <c r="H80" i="16"/>
  <c r="J11" i="16"/>
  <c r="D9" i="4"/>
  <c r="Q9" i="4"/>
  <c r="F11" i="16" s="1"/>
  <c r="F80" i="16" s="1"/>
  <c r="S9" i="4"/>
  <c r="K68" i="16"/>
  <c r="I68" i="16"/>
  <c r="E5" i="15"/>
  <c r="J68" i="16"/>
  <c r="T62" i="4"/>
  <c r="D62" i="4"/>
  <c r="O68" i="16"/>
  <c r="F5" i="15"/>
  <c r="M80" i="16" l="1"/>
  <c r="N44" i="16"/>
  <c r="N45" i="16"/>
  <c r="K80" i="16"/>
  <c r="N6" i="16"/>
  <c r="L80" i="16"/>
  <c r="N11" i="16"/>
  <c r="I80" i="16"/>
  <c r="J80" i="16"/>
  <c r="F80" i="3"/>
  <c r="O11" i="16"/>
  <c r="O80" i="16"/>
  <c r="N68" i="16"/>
  <c r="N80" i="16" l="1"/>
  <c r="Q80" i="16" s="1"/>
  <c r="F82" i="16" s="1"/>
</calcChain>
</file>

<file path=xl/sharedStrings.xml><?xml version="1.0" encoding="utf-8"?>
<sst xmlns="http://schemas.openxmlformats.org/spreadsheetml/2006/main" count="2463" uniqueCount="811">
  <si>
    <t xml:space="preserve">Summary Results </t>
  </si>
  <si>
    <t>Credit Assessment Status</t>
  </si>
  <si>
    <t>Evaluation Questions Assessed</t>
  </si>
  <si>
    <t>Assessment Status</t>
  </si>
  <si>
    <t>Assessed Maximum Points Available</t>
  </si>
  <si>
    <t>Total Maximum Points</t>
  </si>
  <si>
    <t>Yes</t>
  </si>
  <si>
    <t>No</t>
  </si>
  <si>
    <t>Improved</t>
  </si>
  <si>
    <t>Enhanced</t>
  </si>
  <si>
    <t>Superior</t>
  </si>
  <si>
    <t>Conserving</t>
  </si>
  <si>
    <t>Restorative</t>
  </si>
  <si>
    <t>Points</t>
  </si>
  <si>
    <t>Wellbeing</t>
  </si>
  <si>
    <t>QL1.1   Improve Community Quality of Life</t>
  </si>
  <si>
    <t>QL1.2   Enhance Public Health &amp; Safety</t>
  </si>
  <si>
    <t>QL1.3   Improve Construction Safety</t>
  </si>
  <si>
    <t>--</t>
  </si>
  <si>
    <t>QL1.4   Minimize Noise &amp; Vibration</t>
  </si>
  <si>
    <t>QL1.5   Minimize Light Pollution</t>
  </si>
  <si>
    <t>QL1.6   Minimize Construction Impacts</t>
  </si>
  <si>
    <t>Mobility</t>
  </si>
  <si>
    <t>QL2.1   Improve Community Mobility Access</t>
  </si>
  <si>
    <t>Quality of Life</t>
  </si>
  <si>
    <t>QL2.2   Encourage Sustainable Transportation</t>
  </si>
  <si>
    <t>QL2.3   Improve Access &amp; Wayfinding</t>
  </si>
  <si>
    <t>Community</t>
  </si>
  <si>
    <t>QL3.1   Advance Equity &amp; Social Justice</t>
  </si>
  <si>
    <t>QL3.2   Preserve Historic &amp; Cultural Resources</t>
  </si>
  <si>
    <t>QL3.3   Enhance Views &amp; Local Character</t>
  </si>
  <si>
    <t>QL3.4   Enhance Public Space &amp; Amenities</t>
  </si>
  <si>
    <t>Collaboration</t>
  </si>
  <si>
    <t>LD1.1   Provide Effective Leadership &amp; Commitment</t>
  </si>
  <si>
    <t>LD1.2   Foster Collaboration &amp; Teamwork</t>
  </si>
  <si>
    <t>LD1.3   Provide for Stakeholder Involvement</t>
  </si>
  <si>
    <t>LD1.4   Pursue Byproduct Synergies</t>
  </si>
  <si>
    <t>Planning</t>
  </si>
  <si>
    <t>LD2.1   Establish a Sustainability Management Plan</t>
  </si>
  <si>
    <t>LD2.2   Plan for Sustainable Communities</t>
  </si>
  <si>
    <t>Leadership</t>
  </si>
  <si>
    <t>LD2.3   Plan for Long-Term Monitoring &amp; Maintenance</t>
  </si>
  <si>
    <t>LD2.4   Plan for End-of-Life</t>
  </si>
  <si>
    <t>Economy</t>
  </si>
  <si>
    <t>LD3.1   Stimulate Economic Prosperity &amp; Development</t>
  </si>
  <si>
    <t>LD3.2  Develop Local Skills &amp; Capabilities</t>
  </si>
  <si>
    <t>LD3.3   Conduct a Life-Cycle Economic Evaluation</t>
  </si>
  <si>
    <t>Materials</t>
  </si>
  <si>
    <t>RA1.1   Support Sustainable Procurement Practices</t>
  </si>
  <si>
    <t>RA1.2   Use Recycled Materials</t>
  </si>
  <si>
    <t>RA1.3   Reduce Operational Waste</t>
  </si>
  <si>
    <t>RA1.4   Reduce Construction Waste</t>
  </si>
  <si>
    <t>RA1.5   Balance Earthwork On Site</t>
  </si>
  <si>
    <t>Energy</t>
  </si>
  <si>
    <t>RA2.1   Reduce Operational Energy Consumption</t>
  </si>
  <si>
    <t>RA2.2   Reduce Construction Energy Consumption</t>
  </si>
  <si>
    <t>Resource</t>
  </si>
  <si>
    <t>RA2.3   Use Renewable Energy</t>
  </si>
  <si>
    <t xml:space="preserve"> Allocation</t>
  </si>
  <si>
    <t>RA2.4   Commission &amp; Monitor Energy Systems</t>
  </si>
  <si>
    <t>Water</t>
  </si>
  <si>
    <t>RA3.1   Preserve Water Resources</t>
  </si>
  <si>
    <t>RA3.2   Reduce Operational Water Consumption</t>
  </si>
  <si>
    <t>RA3.3   Reduce Construction Water Consumption</t>
  </si>
  <si>
    <t>RA3.4   Monitor Water Systems</t>
  </si>
  <si>
    <t>Siting</t>
  </si>
  <si>
    <t>NW1.1   Preserve Sites of High Ecological Value</t>
  </si>
  <si>
    <t>NW1.2   Provide Wetland &amp; Surface Water Buffers</t>
  </si>
  <si>
    <t>NW1.3   Preserve Prime Farmland</t>
  </si>
  <si>
    <t>NW1.4   Preserve Undeveloped Land</t>
  </si>
  <si>
    <t>Conservation</t>
  </si>
  <si>
    <t>NW2.1   Reclaim Brownfields</t>
  </si>
  <si>
    <t>NW2.2   Manage Stormwater</t>
  </si>
  <si>
    <t>NW2.3   Reduce Pesticide &amp; Fertilizer Impacts</t>
  </si>
  <si>
    <t>Natural</t>
  </si>
  <si>
    <t>NW2.4   Protect Surface &amp; Groundwater Quality</t>
  </si>
  <si>
    <t>World</t>
  </si>
  <si>
    <t>Ecology</t>
  </si>
  <si>
    <t>NW3.1   Enhance Functional Habitats</t>
  </si>
  <si>
    <t>NW3.2   Enhance Wetland &amp; Surface Water Functions</t>
  </si>
  <si>
    <t>NW3.3   Maintain Floodplain Functions</t>
  </si>
  <si>
    <t>NW3.4   Control Invasive Species</t>
  </si>
  <si>
    <t>NW3.5   Protect Soil Health</t>
  </si>
  <si>
    <t>Emissions</t>
  </si>
  <si>
    <t>CR1.1   Reduce Net Embodied Carbon</t>
  </si>
  <si>
    <t>CR1.2   Reduce Greenhouse Gas Emissions</t>
  </si>
  <si>
    <t>CR1.3   Reduce Air Pollutant Emissions</t>
  </si>
  <si>
    <t>Resilience</t>
  </si>
  <si>
    <t>CR2.1   Avoid Unsuitable Development</t>
  </si>
  <si>
    <t>CR2.2   Assess Climate Change Vulnerability</t>
  </si>
  <si>
    <t>Climate and</t>
  </si>
  <si>
    <t>CR2.3   Evaluate Risk and Resilience</t>
  </si>
  <si>
    <t xml:space="preserve">Resilience </t>
  </si>
  <si>
    <t>CR2.4   Establish Resilience Goals and Strategies</t>
  </si>
  <si>
    <t>CR2.5   Maximize Resilience</t>
  </si>
  <si>
    <t>CR2.6   Improve Infrastructure Integration</t>
  </si>
  <si>
    <t>Total Points</t>
  </si>
  <si>
    <t>Possible Award Level:</t>
  </si>
  <si>
    <t>Total #?'s</t>
  </si>
  <si>
    <t>Applicability</t>
  </si>
  <si>
    <t>Answers</t>
  </si>
  <si>
    <t>LEVEL SCORE</t>
  </si>
  <si>
    <t>LEVEL GUIDES</t>
  </si>
  <si>
    <t>Yes/No</t>
  </si>
  <si>
    <t>N/A</t>
  </si>
  <si>
    <t>A</t>
  </si>
  <si>
    <t>B</t>
  </si>
  <si>
    <t>C</t>
  </si>
  <si>
    <t>D</t>
  </si>
  <si>
    <t>E</t>
  </si>
  <si>
    <t>F</t>
  </si>
  <si>
    <t>G</t>
  </si>
  <si>
    <t>Status</t>
  </si>
  <si>
    <t>NA</t>
  </si>
  <si>
    <t>MAX POSSIBLE</t>
  </si>
  <si>
    <t>ACTUAL SCORE</t>
  </si>
  <si>
    <t>No Level</t>
  </si>
  <si>
    <t>A, B</t>
  </si>
  <si>
    <t>A, B, C, D</t>
  </si>
  <si>
    <t>A, B, C, D, E</t>
  </si>
  <si>
    <t>A, B, C, D, E, F</t>
  </si>
  <si>
    <t>A, B, C, D, E, F, G</t>
  </si>
  <si>
    <t>A, B, C</t>
  </si>
  <si>
    <t>A,E</t>
  </si>
  <si>
    <t>A,E,F</t>
  </si>
  <si>
    <t>A, (B, C, D or E)</t>
  </si>
  <si>
    <t>A,(B, C, D or E),F</t>
  </si>
  <si>
    <t>QL2.1   Improve Community Mobility</t>
  </si>
  <si>
    <t>A,B</t>
  </si>
  <si>
    <t>A,B,C</t>
  </si>
  <si>
    <t>A,B,C,D</t>
  </si>
  <si>
    <t>A,B,D</t>
  </si>
  <si>
    <t>A,B,E</t>
  </si>
  <si>
    <t>A,C,D</t>
  </si>
  <si>
    <t>A, C,D, E</t>
  </si>
  <si>
    <t xml:space="preserve">A </t>
  </si>
  <si>
    <t>A, B, C,D</t>
  </si>
  <si>
    <t>A,C,D or E</t>
  </si>
  <si>
    <t>A,C,D,F</t>
  </si>
  <si>
    <t>A,B,C or D</t>
  </si>
  <si>
    <t>A,B,C,E</t>
  </si>
  <si>
    <t>A,B or D</t>
  </si>
  <si>
    <t>B,C</t>
  </si>
  <si>
    <t>B,C,D</t>
  </si>
  <si>
    <t>A, B, (C,D,or E)</t>
  </si>
  <si>
    <t>A,B,C  or D</t>
  </si>
  <si>
    <t>A + B</t>
  </si>
  <si>
    <t>A + B + C</t>
  </si>
  <si>
    <t>A + B + C + D</t>
  </si>
  <si>
    <t>A + B + C + E</t>
  </si>
  <si>
    <t>A + B + C + F</t>
  </si>
  <si>
    <t>A + B + C + D + E</t>
  </si>
  <si>
    <t>A + B + C + D + E + F</t>
  </si>
  <si>
    <t>Verified: 20%</t>
  </si>
  <si>
    <t>Silver: 30%</t>
  </si>
  <si>
    <t>Gold: 40%</t>
  </si>
  <si>
    <t>Platinum: 50%</t>
  </si>
  <si>
    <t xml:space="preserve">          Quality of Life</t>
  </si>
  <si>
    <t>1. WELLBEING</t>
  </si>
  <si>
    <t xml:space="preserve">QL 1.1 Improve Community Quality of Life </t>
  </si>
  <si>
    <r>
      <rPr>
        <b/>
        <sz val="8"/>
        <color theme="1"/>
        <rFont val="Open Sans Regular"/>
      </rPr>
      <t xml:space="preserve">Intent: </t>
    </r>
    <r>
      <rPr>
        <sz val="8"/>
        <color theme="1"/>
        <rFont val="Open Sans Regular"/>
      </rPr>
      <t>Improve the net quality of life of all communities affected by the project and mitigate negative impacts to communities.</t>
    </r>
  </si>
  <si>
    <r>
      <rPr>
        <b/>
        <sz val="8"/>
        <color theme="1"/>
        <rFont val="Open Sans Regular"/>
      </rPr>
      <t xml:space="preserve">Metric: </t>
    </r>
    <r>
      <rPr>
        <sz val="8"/>
        <color theme="1"/>
        <rFont val="Open Sans Regular"/>
      </rPr>
      <t>Measures taken to assess community needs and improve quality of life while minimizing negative impacts.</t>
    </r>
  </si>
  <si>
    <r>
      <rPr>
        <b/>
        <sz val="8"/>
        <color theme="1"/>
        <rFont val="Open Sans Regular"/>
      </rPr>
      <t>Applicability:</t>
    </r>
    <r>
      <rPr>
        <sz val="8"/>
        <color theme="1"/>
        <rFont val="Open Sans Regular"/>
      </rPr>
      <t xml:space="preserve"> It is likely that all projects have the ability to align project objectives with community needs and goals, identified through active engagement, in order to achieve broad community satisfaction. It would therefore be difficult to demonstrate that the credit is not relevant or applicable to a project seeking an Envision award.</t>
    </r>
  </si>
  <si>
    <t>Is this credit applicable?</t>
  </si>
  <si>
    <t>-</t>
  </si>
  <si>
    <t>Assessment Questions:</t>
  </si>
  <si>
    <t>Criteria Met?</t>
  </si>
  <si>
    <t>Has the project team identified and taken into account community needs, goals, and issues?</t>
  </si>
  <si>
    <t>Does the project meet or support the needs and goals of the host and/or affected communities?</t>
  </si>
  <si>
    <t>Has the project team assessed the social impacts the project will have on the host and affected communities’ quality of life?</t>
  </si>
  <si>
    <t>Have the affected communities been meaningfully engaged in identifying how the project meets community needs and/or goals?</t>
  </si>
  <si>
    <t>Has the project team addressed negative social impacts?</t>
  </si>
  <si>
    <t>Are the affected communities satisfied that the project addresses their needs and goals as well as mitigates negative impacts?</t>
  </si>
  <si>
    <t>Does the project proactively address long-term social, economic, or environmental changes that impact quality of life?</t>
  </si>
  <si>
    <t>Yes =</t>
  </si>
  <si>
    <t>QL 1.2 Enhance Public Health and Safety</t>
  </si>
  <si>
    <r>
      <rPr>
        <b/>
        <sz val="8"/>
        <color theme="1"/>
        <rFont val="Open Sans Regular"/>
      </rPr>
      <t>Intent:</t>
    </r>
    <r>
      <rPr>
        <sz val="8"/>
        <color theme="1"/>
        <rFont val="Open Sans Regular"/>
      </rPr>
      <t xml:space="preserve"> Protect and enhance community health and safety during operation.</t>
    </r>
  </si>
  <si>
    <r>
      <rPr>
        <b/>
        <sz val="8"/>
        <color theme="1"/>
        <rFont val="Open Sans Regular"/>
      </rPr>
      <t>Metric:</t>
    </r>
    <r>
      <rPr>
        <sz val="8"/>
        <color theme="1"/>
        <rFont val="Open Sans Regular"/>
      </rPr>
      <t xml:space="preserve"> Measures taken to increase safety and provide health benefits on the project site, surrounding sites, and the broader community in a just and equitable manner.</t>
    </r>
  </si>
  <si>
    <r>
      <rPr>
        <b/>
        <sz val="8"/>
        <color theme="1"/>
        <rFont val="Open Sans Regular"/>
      </rPr>
      <t>Applicability:</t>
    </r>
    <r>
      <rPr>
        <sz val="8"/>
        <color theme="1"/>
        <rFont val="Open Sans Regular"/>
      </rPr>
      <t xml:space="preserve"> It is likely that all projects, large and small, have the ability to positively impact health and/or safety in some way. Safety actions can be relative to the scale of the project, from repainting a crosswalk to preventing major chemical spills. It would therefore be difficult to demonstrate that the credit is not relevant or applicable to a project seeking an Envision award.</t>
    </r>
  </si>
  <si>
    <t>Does the project meet all health and safety regulations and laws for operations?</t>
  </si>
  <si>
    <t>Has the project exceeded minimum legal health and safety requirements as established by regulations and laws?</t>
  </si>
  <si>
    <t>Does the project include health and safety improvements for the immediate surroundings?</t>
  </si>
  <si>
    <t>Does the project include health and safety improvements for the broader host or affected communities?</t>
  </si>
  <si>
    <t>Can the project team demonstrate that health and safety risks and impacts are not disproportionately borne by one community over another?</t>
  </si>
  <si>
    <t>Will the project provide critical infrastructure services to communities experiencing, or at risk of experiencing, imminent negative health and/or personal safety impacts?</t>
  </si>
  <si>
    <t>`</t>
  </si>
  <si>
    <t>QL 1.3 Improve Construction Safety</t>
  </si>
  <si>
    <r>
      <rPr>
        <b/>
        <sz val="8"/>
        <color theme="1"/>
        <rFont val="Open Sans Regular"/>
      </rPr>
      <t xml:space="preserve">Intent: </t>
    </r>
    <r>
      <rPr>
        <sz val="8"/>
        <color theme="1"/>
        <rFont val="Open Sans Regular"/>
      </rPr>
      <t>Enhance public and worker safety during construction.</t>
    </r>
  </si>
  <si>
    <r>
      <rPr>
        <b/>
        <sz val="8"/>
        <color theme="1"/>
        <rFont val="Open Sans Regular"/>
      </rPr>
      <t xml:space="preserve">Metric: </t>
    </r>
    <r>
      <rPr>
        <sz val="8"/>
        <color theme="1"/>
        <rFont val="Open Sans Regular"/>
      </rPr>
      <t>Commitments and measures to monitor safety, provide feedback mechanisms, train personnel, establish security plans, and make health programs available.</t>
    </r>
  </si>
  <si>
    <r>
      <rPr>
        <b/>
        <sz val="8"/>
        <color theme="1"/>
        <rFont val="Open Sans Regular"/>
      </rPr>
      <t>Applicability:</t>
    </r>
    <r>
      <rPr>
        <sz val="8"/>
        <color theme="1"/>
        <rFont val="Open Sans Regular"/>
      </rPr>
      <t xml:space="preserve"> All projects that include construction have the ability to positively impact construction safety. It would therefore be difficult to demonstrate that the credit is not relevant or applicable to a project seeking an Envision award.</t>
    </r>
  </si>
  <si>
    <t>Have the project owner and contractor (GC/CM) made strong commitments to monitoring and improving health and safety?</t>
  </si>
  <si>
    <t>Does the project include reliable feedback mechanisms to identify risks, conduct hazard analyses, and communicate hazards to personnel?</t>
  </si>
  <si>
    <t>Does the project include safety or security training requirements for personnel?</t>
  </si>
  <si>
    <t>Does the project include a comprehensive security plan to protect workers, the public, and sensitive information?</t>
  </si>
  <si>
    <t>Does the project include health and/or well-being programs?</t>
  </si>
  <si>
    <t>QL 1.4 Minimize Noise and Vibration</t>
  </si>
  <si>
    <r>
      <rPr>
        <b/>
        <sz val="8"/>
        <color theme="1"/>
        <rFont val="Open Sans Regular"/>
      </rPr>
      <t>Intent:</t>
    </r>
    <r>
      <rPr>
        <sz val="8"/>
        <color theme="1"/>
        <rFont val="Open Sans Regular"/>
      </rPr>
      <t xml:space="preserve"> Minimize noise and vibrations during operations to maintain and improve community livability.</t>
    </r>
  </si>
  <si>
    <r>
      <rPr>
        <b/>
        <sz val="8"/>
        <color theme="1"/>
        <rFont val="Open Sans Regular"/>
      </rPr>
      <t>Metric:</t>
    </r>
    <r>
      <rPr>
        <sz val="8"/>
        <color theme="1"/>
        <rFont val="Open Sans Regular"/>
      </rPr>
      <t xml:space="preserve"> The extent that operational noise and vibration is assessed and mitigated, and target levels achieved.</t>
    </r>
  </si>
  <si>
    <r>
      <rPr>
        <b/>
        <sz val="8"/>
        <color theme="1"/>
        <rFont val="Open Sans Regular"/>
      </rPr>
      <t>Applicability:</t>
    </r>
    <r>
      <rPr>
        <sz val="8"/>
        <color theme="1"/>
        <rFont val="Open Sans Regular"/>
      </rPr>
      <t xml:space="preserve"> Consideration is given to whether the project will have any operational noise. Noises generated by activities induced by the project, such as cars on roads, pedestrians in parks, and trucks accessing facilities, are applicable to this credit. Projects that do not include any operational noise may apply to have this credit deemed not applicable with supporting documentation.</t>
    </r>
  </si>
  <si>
    <t>Has the project team assessed the potential for operational noise impacts on the surrounding community and/or environment?</t>
  </si>
  <si>
    <t>Has the project mitigated noise generated as a result of the project?</t>
  </si>
  <si>
    <t>Does the project set or adopt target noise levels?</t>
  </si>
  <si>
    <t>Has the project team engaged impacted stakeholders on issues of noise and vibration impacts, mitigation strategies, and target levels?</t>
  </si>
  <si>
    <r>
      <t xml:space="preserve">To what extent will the project maintain or reduce existing noise levels? </t>
    </r>
    <r>
      <rPr>
        <u/>
        <sz val="8"/>
        <color theme="1"/>
        <rFont val="Open Sans Regular"/>
      </rPr>
      <t>Select one of the following:</t>
    </r>
  </si>
  <si>
    <t>None</t>
  </si>
  <si>
    <t>QL 1.5 Minimize Light Pollution</t>
  </si>
  <si>
    <r>
      <t xml:space="preserve">Intent: </t>
    </r>
    <r>
      <rPr>
        <sz val="8"/>
        <color theme="1"/>
        <rFont val="Open Sans Regular"/>
      </rPr>
      <t>Reduce backlight, uplight, and glare without jeopardizing safety during operations.</t>
    </r>
  </si>
  <si>
    <r>
      <rPr>
        <b/>
        <sz val="8"/>
        <color theme="1"/>
        <rFont val="Open Sans Regular"/>
      </rPr>
      <t xml:space="preserve">Metric: </t>
    </r>
    <r>
      <rPr>
        <sz val="8"/>
        <color theme="1"/>
        <rFont val="Open Sans Regular"/>
      </rPr>
      <t>Lighting meets backlight, uplight, and glare requirements for lighting zones.</t>
    </r>
  </si>
  <si>
    <r>
      <rPr>
        <b/>
        <sz val="8"/>
        <color theme="1"/>
        <rFont val="Open Sans Regular"/>
      </rPr>
      <t>Applicability:</t>
    </r>
    <r>
      <rPr>
        <sz val="8"/>
        <color theme="1"/>
        <rFont val="Open Sans Regular"/>
      </rPr>
      <t xml:space="preserve"> This credit is not applicable if projects do not include any exterior lighting. Certain types of projects may be required to use lighting that is incompatible with the credit requirements. This is not considered an acceptable reason for designating the credit as not applicable. Projects that are unable to demonstrate achievement in this credit are encouraged to pursue higher performance in other credits.</t>
    </r>
  </si>
  <si>
    <t>Has the project team conducted an assessment of lighting needs and impacts for the project?</t>
  </si>
  <si>
    <t>Has the project implemented strategies to reduce light pollution?</t>
  </si>
  <si>
    <t>Has the project developed a lighting plan establishing lighting zones?</t>
  </si>
  <si>
    <t>Will luminaires prevent light emission above 90 degrees?</t>
  </si>
  <si>
    <t>Do all project lights meet backlight, uplight, and glare (BUG) requirements for their respective lighting zones?</t>
  </si>
  <si>
    <t>Does the project involve the removal or retrofitting of existing lighting so as to significantly reduce overall existing lighting?</t>
  </si>
  <si>
    <t>QL 1.6 Minimize Construction Impacts</t>
  </si>
  <si>
    <r>
      <t xml:space="preserve">Intent: </t>
    </r>
    <r>
      <rPr>
        <sz val="8"/>
        <color theme="1"/>
        <rFont val="Open Sans Regular"/>
      </rPr>
      <t>Minimize or eliminate the temporary inconveniences associated with construction.</t>
    </r>
  </si>
  <si>
    <r>
      <rPr>
        <b/>
        <sz val="8"/>
        <color theme="1"/>
        <rFont val="Open Sans Regular"/>
      </rPr>
      <t xml:space="preserve">Metric: </t>
    </r>
    <r>
      <rPr>
        <sz val="8"/>
        <color theme="1"/>
        <rFont val="Open Sans Regular"/>
      </rPr>
      <t>Extent of issues addressed through construction management plans.</t>
    </r>
  </si>
  <si>
    <r>
      <rPr>
        <b/>
        <sz val="8"/>
        <color theme="1"/>
        <rFont val="Open Sans Regular"/>
      </rPr>
      <t>Applicability:</t>
    </r>
    <r>
      <rPr>
        <sz val="8"/>
        <color theme="1"/>
        <rFont val="Open Sans Regular"/>
      </rPr>
      <t xml:space="preserve"> Consideration is given to whether the project includes construction activities with the potential to impact the quality of life of individuals. Projects that do not include construction impacts (e.g. an internal refurbishment of a private facility or extremely remote site) may apply to have this credit deemed not applicable with supporting documentation.</t>
    </r>
  </si>
  <si>
    <t>Has the project implemented a construction management plan or policies to address construction impacts?</t>
  </si>
  <si>
    <t>Does the construction management plan mitigate noise and/or vibrations?</t>
  </si>
  <si>
    <t>Does the construction management plan address safety and wayfinding for pedestrians and vehicles during construction?</t>
  </si>
  <si>
    <t>Does the construction management plan maintain access to public space and amenities during construction?</t>
  </si>
  <si>
    <t>Does the construction management plan address distracting or intrusive lighting during construction?</t>
  </si>
  <si>
    <t>Does the construction management plan or policies include robust feedback mechanisms and performance monitoring and reporting for construction impacts?</t>
  </si>
  <si>
    <t>2. MOBILITY</t>
  </si>
  <si>
    <t>QL 2.1 Improve Community Mobility and Access</t>
  </si>
  <si>
    <r>
      <t xml:space="preserve">Intent: </t>
    </r>
    <r>
      <rPr>
        <sz val="8"/>
        <color theme="1"/>
        <rFont val="Open Sans Regular"/>
      </rPr>
      <t>Plan the project as part of a connected network that supports all transportation modes for the efficient movement of people, goods, and services.</t>
    </r>
  </si>
  <si>
    <r>
      <rPr>
        <b/>
        <sz val="8"/>
        <color theme="1"/>
        <rFont val="Open Sans Regular"/>
      </rPr>
      <t xml:space="preserve">Metric: </t>
    </r>
    <r>
      <rPr>
        <sz val="8"/>
        <color theme="1"/>
        <rFont val="Open Sans Regular"/>
      </rPr>
      <t>The extent to which the project broadens mode choices, reduces commute times, reduces vehicle distance traveled,</t>
    </r>
  </si>
  <si>
    <r>
      <rPr>
        <b/>
        <sz val="8"/>
        <color theme="1"/>
        <rFont val="Open Sans Regular"/>
      </rPr>
      <t>Applicability:</t>
    </r>
    <r>
      <rPr>
        <sz val="8"/>
        <color theme="1"/>
        <rFont val="Open Sans Regular"/>
      </rPr>
      <t xml:space="preserve"> Consideration is given to whether the project has any potential to impact mobility. Non-transportation projects that do not include any mobility impacts (positive or negative), and can demonstrate no potential for positively impacting mobility, may apply to have this credit deemed not applicable with supporting documentation. This credit is inherently applicable to all transportation infrastructure projects.</t>
    </r>
  </si>
  <si>
    <t>Is the project consistent with local transportation plans?</t>
  </si>
  <si>
    <t>Has the project team obtained input from the community and key stakeholders regarding issues of mobility and access?</t>
  </si>
  <si>
    <t>Does the project include strategies to increase capacity, manage congestion, reduce vehicle distance traveled, or lower accident rates?</t>
  </si>
  <si>
    <t>Has the project team worked with the community to expand mobility and access options and/or incorporate complete streets policies?</t>
  </si>
  <si>
    <t>Has the project team considered the long-term mobility and access needs of the community?</t>
  </si>
  <si>
    <t>Does the project create new or restore previous connections between communities?</t>
  </si>
  <si>
    <t>QL 2.2 Encourage Sustainable Transportation</t>
  </si>
  <si>
    <r>
      <t xml:space="preserve">Intent: </t>
    </r>
    <r>
      <rPr>
        <sz val="8"/>
        <color theme="1"/>
        <rFont val="Open Sans Regular"/>
      </rPr>
      <t>Expand accessibility to sustainable transportation choices including active, shared, and/or mass transportation.</t>
    </r>
  </si>
  <si>
    <r>
      <rPr>
        <b/>
        <sz val="8"/>
        <color theme="1"/>
        <rFont val="Open Sans Regular"/>
      </rPr>
      <t xml:space="preserve">Metric: </t>
    </r>
    <r>
      <rPr>
        <sz val="8"/>
        <color theme="1"/>
        <rFont val="Open Sans Regular"/>
      </rPr>
      <t>The extent to which active, shared, or mass transportation options are accessible, encouraged, and supported as part of a larger integrated transportation network.</t>
    </r>
  </si>
  <si>
    <r>
      <rPr>
        <b/>
        <sz val="8"/>
        <color theme="1"/>
        <rFont val="Open Sans Regular"/>
      </rPr>
      <t>Applicability:</t>
    </r>
    <r>
      <rPr>
        <sz val="8"/>
        <color theme="1"/>
        <rFont val="Open Sans Regular"/>
      </rPr>
      <t xml:space="preserve"> Consideration is given to whether the project includes transportation infrastructure, or includes the frequent dependence on transportation for access to the project. This credit is applicable to all transportation infrastructure. Projects that do not include transportation infrastructure and are not accessible, unmanned, or have very small maintenance crews, may apply to have this credit deemed not applicable with supporting documentation.</t>
    </r>
  </si>
  <si>
    <t>Does the project provide convenient access to active, shared, or mass transportation options?</t>
  </si>
  <si>
    <t>Is the project configured and designed in such a way to encourage active, shared, and/or mass transportation options?</t>
  </si>
  <si>
    <t>Does the project include programs and facilities that support the use of active transportation and transit?</t>
  </si>
  <si>
    <t>Does the project contribute to a larger integrated active, shared, or mass transportation strategy for the community or region?</t>
  </si>
  <si>
    <t>QL 2.3 Improve Access and Wayfinding</t>
  </si>
  <si>
    <r>
      <t xml:space="preserve">Intent: </t>
    </r>
    <r>
      <rPr>
        <sz val="8"/>
        <color theme="1"/>
        <rFont val="Open Sans Regular"/>
      </rPr>
      <t>Design the project to provide safe and appropriate access in and/or around the project in a way that integrates the project with the surrounding community.</t>
    </r>
  </si>
  <si>
    <r>
      <rPr>
        <b/>
        <sz val="8"/>
        <color theme="1"/>
        <rFont val="Open Sans Regular"/>
      </rPr>
      <t xml:space="preserve">Metric: </t>
    </r>
    <r>
      <rPr>
        <sz val="8"/>
        <color theme="1"/>
        <rFont val="Open Sans Regular"/>
      </rPr>
      <t>Incorporating and providing clear access, safety, and wayfinding measures to accommodate emergency services and regular vehicular or pedestrian traffic.</t>
    </r>
  </si>
  <si>
    <r>
      <rPr>
        <b/>
        <sz val="8"/>
        <color theme="1"/>
        <rFont val="Open Sans Regular"/>
      </rPr>
      <t>Applicability:</t>
    </r>
    <r>
      <rPr>
        <sz val="8"/>
        <color theme="1"/>
        <rFont val="Open Sans Regular"/>
      </rPr>
      <t xml:space="preserve"> Consideration is given to the potential for impacting community access on or around the project site. Infrastructure that is inherently inaccessible (e.g., underground) or extremely remote (e.g., inaccessible by public roads) may apply to have this credit deemed not applicable with supporting documentation. Default restrictions on public access are not considered acceptable justification for marking the credit not applicable. This credit is automatically applicable to any project in proximity to populated areas or other development, adjacent to sensitive sites, or involving regular incoming or outgoing traffic.</t>
    </r>
  </si>
  <si>
    <t>Has the project addressed access, safety, and wayfinding for incident management including evacuation and emergency personnel?</t>
  </si>
  <si>
    <t>Does the project utilize access, safety, and signage to protect or minimize impacts on the surroundings?</t>
  </si>
  <si>
    <t>Does the project provide safe public access points for the benefit of the community?</t>
  </si>
  <si>
    <t>Does the project have a positive and transformative impact on community neighborhood access, safety, and/or wayfinding?</t>
  </si>
  <si>
    <t>3. COMMUNITY</t>
  </si>
  <si>
    <t>QL 3.1 Advance Equity and Social Justice</t>
  </si>
  <si>
    <r>
      <t xml:space="preserve">Intent: </t>
    </r>
    <r>
      <rPr>
        <sz val="8"/>
        <color theme="1"/>
        <rFont val="Open Sans Regular"/>
      </rPr>
      <t>Ensure that equity and social justice are fundamental considerations within project processes and decision making.</t>
    </r>
  </si>
  <si>
    <r>
      <t xml:space="preserve">Metric: </t>
    </r>
    <r>
      <rPr>
        <sz val="8"/>
        <color theme="1"/>
        <rFont val="Open Sans Regular"/>
      </rPr>
      <t>Degree to which equity and social justice are included in stakeholder engagement, project team commitments, and decision making.</t>
    </r>
  </si>
  <si>
    <r>
      <rPr>
        <b/>
        <sz val="8"/>
        <color theme="1"/>
        <rFont val="Open Sans Regular"/>
      </rPr>
      <t>Applicability:</t>
    </r>
    <r>
      <rPr>
        <sz val="8"/>
        <color theme="1"/>
        <rFont val="Open Sans Regular"/>
      </rPr>
      <t xml:space="preserve"> This credit can be designated as not applicable for projects that do not impact the surrounding community. For example, the installation or refurbishment of systems internal to a facility that do not impact the quality or level of service provided by the infrastructure.</t>
    </r>
  </si>
  <si>
    <t>Does the stakeholder engagement process take into account the historic context of equity and social justice within affected communities?</t>
  </si>
  <si>
    <t>Has the project team assessed the social impacts the project will have on the host and affected communities?</t>
  </si>
  <si>
    <t>Have key members of the project team made commitments to equity and social justice within their organizations?</t>
  </si>
  <si>
    <t>Has the project addressed social impacts related to equity and social justice?</t>
  </si>
  <si>
    <t>Will the impacts and benefits of the project be distributed equitably throughout affected communities?</t>
  </si>
  <si>
    <t>Has the project team empowered communities to engage in the development process?</t>
  </si>
  <si>
    <t>Does the project positively address or correct an existing or historic injustice or imbalance?</t>
  </si>
  <si>
    <t>QL 3.2 Preserve Historic and Cultural Resources</t>
  </si>
  <si>
    <r>
      <t xml:space="preserve">Intent: </t>
    </r>
    <r>
      <rPr>
        <sz val="8"/>
        <color theme="1"/>
        <rFont val="Open Sans Regular"/>
      </rPr>
      <t>Preserve or restore significant historical and cultural sites and related resources.</t>
    </r>
  </si>
  <si>
    <r>
      <rPr>
        <b/>
        <sz val="8"/>
        <color theme="1"/>
        <rFont val="Open Sans Regular"/>
      </rPr>
      <t xml:space="preserve">Metric: </t>
    </r>
    <r>
      <rPr>
        <sz val="8"/>
        <color theme="1"/>
        <rFont val="Open Sans Regular"/>
      </rPr>
      <t>Steps taken to identify, preserve, or restore cultural resources.</t>
    </r>
  </si>
  <si>
    <r>
      <rPr>
        <b/>
        <sz val="8"/>
        <color theme="1"/>
        <rFont val="Open Sans Regular"/>
      </rPr>
      <t>Applicability:</t>
    </r>
    <r>
      <rPr>
        <sz val="8"/>
        <color theme="1"/>
        <rFont val="Open Sans Regular"/>
      </rPr>
      <t xml:space="preserve"> Project teams that are unable to identify any historic or cultural resources relevant to the project may apply to have this credit deemed not applicable with supporting documentation. Supporting documentation should demonstrate how stakeholder engagement activities, cultural resource studies, or equivalent, were implemented in an effort to identify possible historic or cultural resources. This credit is applicable to all infrastructure projects that impact a historic or cultural resource identified in state/provincial, national, or international registries, or identified through stakeholder engagement. This credit is also applicable, and no points achieved, for projects that cannot demonstrate a serious effort was made to identify potential historic or cultural resources.</t>
    </r>
  </si>
  <si>
    <t>Has the project team worked with the community and required regulatory and resource agencies to identify historic and cultural resources?</t>
  </si>
  <si>
    <t>Has the project team developed strategies to document, protect, or enhance historic and cultural resources to the project?</t>
  </si>
  <si>
    <t>Does the identification of historic/cultural resources extend beyond registries to identify important parts of the community culture?</t>
  </si>
  <si>
    <t>Has the project team worked with stakeholders to develop a sensitive design and approach?</t>
  </si>
  <si>
    <t>Does the project avoid all historic/cultural resources or fully preserve/protect their character-defining features?</t>
  </si>
  <si>
    <t>Does the project enhance or restore threatened or degraded historic/cultural resources in the community, or add a resource to a protected registry?</t>
  </si>
  <si>
    <t>QL 3.3 Enhance Views and Local Character</t>
  </si>
  <si>
    <r>
      <t xml:space="preserve">Intent: </t>
    </r>
    <r>
      <rPr>
        <sz val="8"/>
        <color theme="1"/>
        <rFont val="Open Sans Regular"/>
      </rPr>
      <t>Preserve or enhance the physical, natural, and/or community character of the project site and its surroundings.</t>
    </r>
  </si>
  <si>
    <r>
      <rPr>
        <b/>
        <sz val="8"/>
        <color theme="1"/>
        <rFont val="Open Sans Regular"/>
      </rPr>
      <t xml:space="preserve">Metric: </t>
    </r>
    <r>
      <rPr>
        <sz val="8"/>
        <color theme="1"/>
        <rFont val="Open Sans Regular"/>
      </rPr>
      <t>Steps taken to assess valued community resources, implement preservation measures, and determine overall satisfaction.</t>
    </r>
  </si>
  <si>
    <r>
      <rPr>
        <b/>
        <sz val="8"/>
        <color theme="1"/>
        <rFont val="Open Sans Regular"/>
      </rPr>
      <t>Applicability:</t>
    </r>
    <r>
      <rPr>
        <sz val="8"/>
        <color theme="1"/>
        <rFont val="Open Sans Regular"/>
      </rPr>
      <t xml:space="preserve"> Projects that have no public visibility or impact on views, such as underground utilities or the refurbishment of equipment within an existing facility, may submit to have this credit deemed not applicable with supporting documentation. Reviewers are unlikely to accept arguments that a publicly visible project has no impact on views or local character.</t>
    </r>
  </si>
  <si>
    <t>Has the project team made a reasonable determination of community values and concerns regarding protection and enhancement of views and local character?</t>
  </si>
  <si>
    <t>Has the project team implemented specific strategies to preserve or enhance views and local character?</t>
  </si>
  <si>
    <t>Has the project team developed or adopted existing guidelines to preserve views and local character?</t>
  </si>
  <si>
    <t>Does the project include a construction management plan to protect important natural or man-made features?</t>
  </si>
  <si>
    <t>Does the community support actions taken to preserve or enhance views and local character?</t>
  </si>
  <si>
    <t>Will the project result in the restoration or enhancement of views or local character?</t>
  </si>
  <si>
    <t>QL 3.4 Enhance Public Space and Amenities</t>
  </si>
  <si>
    <r>
      <t xml:space="preserve">Intent: </t>
    </r>
    <r>
      <rPr>
        <sz val="8"/>
        <color theme="1"/>
        <rFont val="Open Sans Regular"/>
      </rPr>
      <t>Improve amenities and publicly accessible spaces to enhance community livability.</t>
    </r>
  </si>
  <si>
    <r>
      <rPr>
        <b/>
        <sz val="8"/>
        <color theme="1"/>
        <rFont val="Open Sans Regular"/>
      </rPr>
      <t xml:space="preserve">Metric: </t>
    </r>
    <r>
      <rPr>
        <sz val="8"/>
        <color theme="1"/>
        <rFont val="Open Sans Regular"/>
      </rPr>
      <t>Plans and commitments to preserve, conserve, enhance, and/or restore the defining elements of the amenity.</t>
    </r>
  </si>
  <si>
    <r>
      <rPr>
        <b/>
        <sz val="8"/>
        <color theme="1"/>
        <rFont val="Open Sans Regular"/>
      </rPr>
      <t>Applicability:</t>
    </r>
    <r>
      <rPr>
        <sz val="8"/>
        <color theme="1"/>
        <rFont val="Open Sans Regular"/>
      </rPr>
      <t xml:space="preserve"> This credit is applicable to projects that are publicly accessible or that impact, adjoin, or otherwise connect to existing public spaces or amenities. This represents the large majority of infrastructure projects. Designating this credit as not applicable can be difficult. Projects that by their nature preclude the possibility of addressing public space or amenities may submit to have this credit deemed not applicable with supporting documentation (e.g., mechanical system refurbishments, offshore wind farms, etc.). Not addressing the potential for public space or amenities is not sufficient alone to designate this credit not applicable. Infrastructure projects, especially those traditionally viewed as inaccessible, are encouraged to consider how they can benefit their surrounding community through the enhancement or provision of public space and amenities.</t>
    </r>
  </si>
  <si>
    <t>Has the project team assessed and mitigated impacts to existing public space and/or amenities?</t>
  </si>
  <si>
    <t>Does the stakeholder engagement process specifically address issues of public space and amenities?</t>
  </si>
  <si>
    <t>Are public stakeholders satisfied with the project plans involving public space and amenities?</t>
  </si>
  <si>
    <r>
      <t xml:space="preserve">To what extent does the project involve significantly enhancing, creating, or restoring public space and/or amenities? </t>
    </r>
    <r>
      <rPr>
        <u/>
        <sz val="8"/>
        <color theme="1"/>
        <rFont val="Open Sans Regular"/>
      </rPr>
      <t xml:space="preserve">Select one of the following: </t>
    </r>
  </si>
  <si>
    <t xml:space="preserve">          Leadership</t>
  </si>
  <si>
    <t>1. COLLABORATION</t>
  </si>
  <si>
    <t>LD 1.1 Provide Effective Leadership and Commitment</t>
  </si>
  <si>
    <r>
      <rPr>
        <b/>
        <sz val="8"/>
        <color theme="1"/>
        <rFont val="Open Sans Regular"/>
      </rPr>
      <t xml:space="preserve">Intent: </t>
    </r>
    <r>
      <rPr>
        <sz val="8"/>
        <color theme="1"/>
        <rFont val="Open Sans Regular"/>
      </rPr>
      <t>Provide effective leadership and commitment to achieve project sustainability goals.</t>
    </r>
  </si>
  <si>
    <r>
      <rPr>
        <b/>
        <sz val="8"/>
        <color theme="1"/>
        <rFont val="Open Sans Regular"/>
      </rPr>
      <t xml:space="preserve">Metric: </t>
    </r>
    <r>
      <rPr>
        <sz val="8"/>
        <color theme="1"/>
        <rFont val="Open Sans Regular"/>
      </rPr>
      <t>The degree to which the project owner and project team have made general, and project-specific, sustainability commitments and instituted sustainability management policies.</t>
    </r>
  </si>
  <si>
    <r>
      <rPr>
        <b/>
        <sz val="8"/>
        <color theme="1"/>
        <rFont val="Open Sans Regular"/>
      </rPr>
      <t>Applicability:</t>
    </r>
    <r>
      <rPr>
        <sz val="8"/>
        <color theme="1"/>
        <rFont val="Open Sans Regular"/>
      </rPr>
      <t xml:space="preserve"> It is likely that all projects can benefit from effective leadership and strong commitments to sustainability. It would therefore be difficult to demonstrate that the credit is not relevant or applicable to a project seeking an Envision award.</t>
    </r>
  </si>
  <si>
    <t>Have the project owner and project team made written commitments to address the social, environmental, and economic aspects of the project?</t>
  </si>
  <si>
    <t>Is the project supported by a sustainability management policy commensurate with the scope, scale, and complexity of the project?</t>
  </si>
  <si>
    <t>Has the project team periodically revisited project sustainability commitments throughout project delivery?</t>
  </si>
  <si>
    <t>Have key members of the project team made organizational commitments to sustainability?</t>
  </si>
  <si>
    <t>LD 1.2 Foster Collaboration and Teamwork</t>
  </si>
  <si>
    <r>
      <rPr>
        <b/>
        <sz val="8"/>
        <color theme="1"/>
        <rFont val="Open Sans Regular"/>
      </rPr>
      <t>Intent:</t>
    </r>
    <r>
      <rPr>
        <sz val="8"/>
        <color theme="1"/>
        <rFont val="Open Sans Regular"/>
      </rPr>
      <t xml:space="preserve"> Enhance project sustainability through interdisciplinary collaboration and teamwork.</t>
    </r>
  </si>
  <si>
    <r>
      <rPr>
        <b/>
        <sz val="8"/>
        <color theme="1"/>
        <rFont val="Open Sans Regular"/>
      </rPr>
      <t>Metric:</t>
    </r>
    <r>
      <rPr>
        <sz val="8"/>
        <color theme="1"/>
        <rFont val="Open Sans Regular"/>
      </rPr>
      <t xml:space="preserve"> The breadth and inclusivity of interdisciplinary and collaborative meetings and the resulting sustainability performance enhancements.</t>
    </r>
  </si>
  <si>
    <r>
      <rPr>
        <b/>
        <sz val="8"/>
        <color theme="1"/>
        <rFont val="Open Sans Regular"/>
      </rPr>
      <t>Applicability:</t>
    </r>
    <r>
      <rPr>
        <sz val="8"/>
        <color theme="1"/>
        <rFont val="Open Sans Regular"/>
      </rPr>
      <t xml:space="preserve"> It is likely that all projects can benefit from better collaboration and teamwork in pursuit of more sustainable projects. It would therefore be difficult to demonstrate that the credit is not relevant or applicable to a project seeking an Envision award.</t>
    </r>
  </si>
  <si>
    <t>Was an interdisciplinary collaborative kickoff meeting held early in the project to define sustainability goals?</t>
  </si>
  <si>
    <t>Has project sustainability performance been enhanced as a result of the interdisciplinary collaboration?</t>
  </si>
  <si>
    <t>Did the project team establish regular interdisciplinary and collaborative meetings to set and achieve sustainability goals?</t>
  </si>
  <si>
    <t>Does the process include construction, operations, or maintenance stakeholders, for better incorporation of considerations in later project phases?</t>
  </si>
  <si>
    <t>LD 1.3 Provide for Stakeholder Involvement</t>
  </si>
  <si>
    <r>
      <rPr>
        <b/>
        <sz val="8"/>
        <color theme="1"/>
        <rFont val="Open Sans Regular"/>
      </rPr>
      <t xml:space="preserve">Intent: </t>
    </r>
    <r>
      <rPr>
        <sz val="8"/>
        <color theme="1"/>
        <rFont val="Open Sans Regular"/>
      </rPr>
      <t>Early and sustained stakeholder engagement and involvement in project decision making.</t>
    </r>
  </si>
  <si>
    <r>
      <rPr>
        <b/>
        <sz val="8"/>
        <color theme="1"/>
        <rFont val="Open Sans Regular"/>
      </rPr>
      <t xml:space="preserve">Metric: </t>
    </r>
    <r>
      <rPr>
        <sz val="8"/>
        <color theme="1"/>
        <rFont val="Open Sans Regular"/>
      </rPr>
      <t>Establishment of sound and meaningful programs for stakeholder identification, early and sustained engagement, and involvement in project decision making.</t>
    </r>
  </si>
  <si>
    <r>
      <rPr>
        <b/>
        <sz val="8"/>
        <color theme="1"/>
        <rFont val="Open Sans Regular"/>
      </rPr>
      <t>Applicability:</t>
    </r>
    <r>
      <rPr>
        <sz val="8"/>
        <color theme="1"/>
        <rFont val="Open Sans Regular"/>
      </rPr>
      <t xml:space="preserve"> It is likely that all projects can benefit from stakeholder engagement. Although the types and scope of stakeholders may vary depending on the project, it would be difficult to demonstrate that the credit is not relevant or applicable to a project seeking an Envision award.</t>
    </r>
  </si>
  <si>
    <t>Has the project team undertaken a stakeholder mapping exercise to determine stakeholders? Were primary and secondary stakeholders identified through a stakeholder mapping process, and stakeholder concerns and specific objectives for stakeholder engagement defined?</t>
  </si>
  <si>
    <t xml:space="preserve">Has the project team analyzed, planned, and executed the engagement for key project stakeholders? Is there a proactive stakeholder engagement process  established with clear objectives where: engagement moves beyond education into active dialogue; stakeholder views are monitored, and a two-way line of communication is established to reply to inquiries; and sufficient opportunities are provided for stakeholders to be involved in decision making? </t>
  </si>
  <si>
    <t>Was a lead member of the project team directly involved with stakeholder groups to understand their needs?</t>
  </si>
  <si>
    <t>Has stakeholder engagement feedback been incorporated into project plans, design, and/or decision making? Are specific cases in which public input influenced or validated project outcomes, and potentially conflicting stakeholder views were evaluated and addressed equitably during decision making?</t>
  </si>
  <si>
    <t>Has the project team sought feedback from stakeholders as to their satisfaction with the engagement process and the resulting decisions that were made based on their input?</t>
  </si>
  <si>
    <t>Has the project engaged one or more stakeholders as partners?</t>
  </si>
  <si>
    <t>LD 1.4 Pursue Byproduct Synergies</t>
  </si>
  <si>
    <r>
      <rPr>
        <b/>
        <sz val="8"/>
        <color theme="1"/>
        <rFont val="Open Sans Regular"/>
      </rPr>
      <t>Intent:</t>
    </r>
    <r>
      <rPr>
        <sz val="8"/>
        <color theme="1"/>
        <rFont val="Open Sans Regular"/>
      </rPr>
      <t xml:space="preserve"> Critically reconsider whether traditional waste streams can be beneficially reused.</t>
    </r>
  </si>
  <si>
    <r>
      <rPr>
        <b/>
        <sz val="8"/>
        <color theme="1"/>
        <rFont val="Open Sans Regular"/>
      </rPr>
      <t>Metric:</t>
    </r>
    <r>
      <rPr>
        <sz val="8"/>
        <color theme="1"/>
        <rFont val="Open Sans Regular"/>
      </rPr>
      <t xml:space="preserve"> The extent to which the project team works with external groups to find beneficial use of waste, excess resources, or capacity.</t>
    </r>
  </si>
  <si>
    <r>
      <rPr>
        <b/>
        <sz val="8"/>
        <color theme="1"/>
        <rFont val="Open Sans Regular"/>
      </rPr>
      <t>Applicability:</t>
    </r>
    <r>
      <rPr>
        <sz val="8"/>
        <color theme="1"/>
        <rFont val="Open Sans Regular"/>
      </rPr>
      <t xml:space="preserve"> It is likely that all projects that use materials or product waste can benefit from byproduct synergies. It would be difficult to demonstrate that the credit is not relevant or applicable to a project seeking an Envision award.</t>
    </r>
  </si>
  <si>
    <t>Has the project team assessed the availability of either internal or external excess resources or capacity?</t>
  </si>
  <si>
    <t>Has the project team identified opportunities for byproduct synergies or reuse?</t>
  </si>
  <si>
    <t>Has the project team actively pursued a byproduct synergy or reuse?</t>
  </si>
  <si>
    <r>
      <t xml:space="preserve">Does the project include a byproduct synergy by utilizing unwanted excess resources or finding destinations for the beneficial reuse of unwanted excess resources? </t>
    </r>
    <r>
      <rPr>
        <u/>
        <sz val="8"/>
        <color theme="1"/>
        <rFont val="Open Sans Regular"/>
      </rPr>
      <t>Select one of the following:</t>
    </r>
  </si>
  <si>
    <t>Is the project part of a circular economy, whereby the majority of operational byproducts are beneficially repurposed or the majority of operational resources consumed are beneficially repurposed?</t>
  </si>
  <si>
    <t>2. PLANNING</t>
  </si>
  <si>
    <t>LD 2.1 Establish a Sustainability Management Plan</t>
  </si>
  <si>
    <r>
      <rPr>
        <b/>
        <sz val="8"/>
        <color theme="1"/>
        <rFont val="Open Sans Regular"/>
      </rPr>
      <t>Intent</t>
    </r>
    <r>
      <rPr>
        <sz val="8"/>
        <color theme="1"/>
        <rFont val="Open Sans Regular"/>
      </rPr>
      <t>: Create a project sustainability management plan that can manage the scope, scale, and complexity of a project seeking to improve sustainable performance.</t>
    </r>
  </si>
  <si>
    <r>
      <rPr>
        <b/>
        <sz val="8"/>
        <color theme="1"/>
        <rFont val="Open Sans Regular"/>
      </rPr>
      <t xml:space="preserve">Metric: </t>
    </r>
    <r>
      <rPr>
        <sz val="8"/>
        <color theme="1"/>
        <rFont val="Open Sans Regular"/>
      </rPr>
      <t>Extent of organizational policies, authorities, mechanisms, education, and business processes put in place.</t>
    </r>
  </si>
  <si>
    <r>
      <rPr>
        <b/>
        <sz val="8"/>
        <color theme="1"/>
        <rFont val="Open Sans Regular"/>
      </rPr>
      <t>Applicability:</t>
    </r>
    <r>
      <rPr>
        <sz val="8"/>
        <color theme="1"/>
        <rFont val="Open Sans Regular"/>
      </rPr>
      <t xml:space="preserve"> It is likely that all projects can benefit from a sustainability management plan. It would be difficult to demonstrate that the credit is not relevant or applicable to a project seeking an Envision award.</t>
    </r>
  </si>
  <si>
    <t>Are roles and responsibilities for addressing sustainability assigned to key members of the project team?</t>
  </si>
  <si>
    <t>Has a sustainability management plan been developed to assess and prioritize the environmental, economic, and social aspects of the project and set project sustainability goals, objectives, and targets?</t>
  </si>
  <si>
    <t>Does the project include a sustainability management plan that contains sufficient processes and management controls to address the sustainability goals, objectives, and targets?</t>
  </si>
  <si>
    <t>Was the sustainability management plan implemented and periodically revisited?</t>
  </si>
  <si>
    <t>Is the project sustainability management plan adaptable, flexible, and resilient enough to manage changes in the environmental, social, or economic conditions of the project over its life?</t>
  </si>
  <si>
    <t>LD2.2 Plan for Sustainable Communities</t>
  </si>
  <si>
    <r>
      <rPr>
        <b/>
        <sz val="8"/>
        <color theme="1"/>
        <rFont val="Open Sans Regular"/>
      </rPr>
      <t>Intent</t>
    </r>
    <r>
      <rPr>
        <sz val="8"/>
        <color theme="1"/>
        <rFont val="Open Sans Regular"/>
      </rPr>
      <t>: Incorporate sustainability principles into project selection/identification in order to develop the most sustainable project for the community.</t>
    </r>
  </si>
  <si>
    <r>
      <t>Metric</t>
    </r>
    <r>
      <rPr>
        <sz val="8"/>
        <color theme="1"/>
        <rFont val="Open Sans Regular"/>
      </rPr>
      <t>: The degree to which project selection/identification includes sustainability performance assessments and is part of a larger sustainable development plan.</t>
    </r>
  </si>
  <si>
    <r>
      <rPr>
        <b/>
        <sz val="8"/>
        <color theme="1"/>
        <rFont val="Open Sans Regular"/>
      </rPr>
      <t>Applicability:</t>
    </r>
    <r>
      <rPr>
        <sz val="8"/>
        <color theme="1"/>
        <rFont val="Open Sans Regular"/>
      </rPr>
      <t xml:space="preserve"> Consideration is given to the scope and scale of the project and whether it has the potential to more broadly impact community sustainability. For example, small projects that involve the retrofitting or refurbishment of components or systems within an existing facility may contribute to improved sustainability performance but may struggle to demonstrate an impact beyond the project site. Small projects that do not impact the broader community sustainability, and do not have the potential to impact community sustainability, may apply to have this credit deemed not applicable with supporting documentation.</t>
    </r>
  </si>
  <si>
    <t>Was sustainability considered during project selection/identification?</t>
  </si>
  <si>
    <t>Were alternative analyses conducted on sustainability performance during project identification?</t>
  </si>
  <si>
    <t>Was an assessment conducted of the project’s impacts to broader long-term community or regional sustainability?</t>
  </si>
  <si>
    <t>Is the project part of a comprehensive sustainable development plan?</t>
  </si>
  <si>
    <t>Does the project address an inherently unsustainable condition within the community or region?</t>
  </si>
  <si>
    <t>LD2.3 Plan for Long-Term Monitoring and Maintenance</t>
  </si>
  <si>
    <r>
      <rPr>
        <b/>
        <sz val="8"/>
        <color theme="1"/>
        <rFont val="Open Sans Regular"/>
      </rPr>
      <t>Intent</t>
    </r>
    <r>
      <rPr>
        <sz val="8"/>
        <color theme="1"/>
        <rFont val="Open Sans Regular"/>
      </rPr>
      <t>: Put in place plans, processes, and personnel sufficient to ensure that long-term sustainable protection, mitigation, and enhancement measures are incorporated into the project.</t>
    </r>
  </si>
  <si>
    <r>
      <rPr>
        <b/>
        <sz val="8"/>
        <color theme="1"/>
        <rFont val="Open Sans Regular"/>
      </rPr>
      <t xml:space="preserve">Metric: </t>
    </r>
    <r>
      <rPr>
        <sz val="8"/>
        <color theme="1"/>
        <rFont val="Open Sans Regular"/>
      </rPr>
      <t>Comprehensiveness of long-term monitoring and maintenance plans, implementation goals, and commitment of resources to fund the activities.</t>
    </r>
  </si>
  <si>
    <r>
      <rPr>
        <b/>
        <sz val="8"/>
        <color theme="1"/>
        <rFont val="Open Sans Regular"/>
      </rPr>
      <t>Applicability:</t>
    </r>
    <r>
      <rPr>
        <sz val="8"/>
        <color theme="1"/>
        <rFont val="Open Sans Regular"/>
      </rPr>
      <t xml:space="preserve"> This credit is applicable to all projects that include ongoing monitoring and maintenance. In rare cases where projects do not include operation or maintenance activities, projects may apply to have this credit deemed not applicable with supporting documentation.</t>
    </r>
  </si>
  <si>
    <t>Has the project team considered how to reduce ongoing operational impacts?</t>
  </si>
  <si>
    <t>Is there a clear and comprehensive plan in place for long-term monitoring and maintenance of the completed project?</t>
  </si>
  <si>
    <t>Has the monitoring and maintenance plan been communicated with operations and maintenance staff?</t>
  </si>
  <si>
    <t>Have sufficient resources been allocated for long-term monitoring and maintenance of the completed project and appropriate training been conducted?</t>
  </si>
  <si>
    <t>Is there a plan in place to re-evaluate and modify the maintenance plan based on monitored data?</t>
  </si>
  <si>
    <t>LD2.4 Plan for End-of-Life</t>
  </si>
  <si>
    <r>
      <rPr>
        <b/>
        <sz val="8"/>
        <color theme="1"/>
        <rFont val="Open Sans Regular"/>
      </rPr>
      <t>Intent</t>
    </r>
    <r>
      <rPr>
        <sz val="8"/>
        <color theme="1"/>
        <rFont val="Open Sans Regular"/>
      </rPr>
      <t>: Ensure that the project team is informed by an understanding of the full impacts and costs of the project’s end-of-life.</t>
    </r>
  </si>
  <si>
    <r>
      <rPr>
        <b/>
        <sz val="8"/>
        <color theme="1"/>
        <rFont val="Open Sans Regular"/>
      </rPr>
      <t xml:space="preserve">Metric: </t>
    </r>
    <r>
      <rPr>
        <sz val="8"/>
        <color theme="1"/>
        <rFont val="Open Sans Regular"/>
      </rPr>
      <t>The degree to which the project team analyzes, and communicates with stakeholders, the end-of-life impacts, cost, and value.</t>
    </r>
  </si>
  <si>
    <r>
      <rPr>
        <b/>
        <sz val="8"/>
        <color theme="1"/>
        <rFont val="Open Sans Regular"/>
      </rPr>
      <t>Applicability:</t>
    </r>
    <r>
      <rPr>
        <sz val="8"/>
        <color theme="1"/>
        <rFont val="Open Sans Regular"/>
      </rPr>
      <t xml:space="preserve"> It is likely that all projects can benefit from end-of-life planning. It would be difficult to demonstrate that the credit is not relevant or applicable to a project seeking an Envision award.</t>
    </r>
  </si>
  <si>
    <t>Has the project team developed an end-of-life plan?</t>
  </si>
  <si>
    <t>Has the project team evaluated opportunities to extend the project’s useful life or beneficially repurpose the project after end-of-life?</t>
  </si>
  <si>
    <t>Has the project team assessed potential social, environmental, and economic end-of-life impacts?</t>
  </si>
  <si>
    <t>Has the project team evaluated the costs and salvage value of the project’s deconstruction, decommissioning, or replacement?</t>
  </si>
  <si>
    <t>Has the project team proactively engaged stakeholders in end-of-life planning?</t>
  </si>
  <si>
    <t>3. ECONOMY</t>
  </si>
  <si>
    <t>LD3.1 Stimulate Economic Prosperity and Development</t>
  </si>
  <si>
    <r>
      <rPr>
        <b/>
        <sz val="8"/>
        <color theme="1"/>
        <rFont val="Open Sans Regular"/>
      </rPr>
      <t>Intent</t>
    </r>
    <r>
      <rPr>
        <sz val="8"/>
        <color theme="1"/>
        <rFont val="Open Sans Regular"/>
      </rPr>
      <t>: Support economic prosperity and sustainable development, including job growth, capacity building, productivity, business attractiveness, and livability.</t>
    </r>
  </si>
  <si>
    <r>
      <rPr>
        <b/>
        <sz val="8"/>
        <color theme="1"/>
        <rFont val="Open Sans Regular"/>
      </rPr>
      <t xml:space="preserve">Metric: </t>
    </r>
    <r>
      <rPr>
        <sz val="8"/>
        <color theme="1"/>
        <rFont val="Open Sans Regular"/>
      </rPr>
      <t>The extent of job creation, increased operating capacity, access, quality, and/or improved socioeconomic conditions.</t>
    </r>
  </si>
  <si>
    <r>
      <rPr>
        <b/>
        <sz val="8"/>
        <color theme="1"/>
        <rFont val="Open Sans Regular"/>
      </rPr>
      <t>Applicability:</t>
    </r>
    <r>
      <rPr>
        <sz val="8"/>
        <color theme="1"/>
        <rFont val="Open Sans Regular"/>
      </rPr>
      <t xml:space="preserve"> The scope of this credit is broad, covering commercial, industrial, cultural, and recreational aspects of community development. In determining whether this credit is applicable to a project assessment, it is likely that all projects have the ability to support and stimulate economic prosperity and sustainable development. It would therefore be difficult to demonstrate that the credit is not relevant or applicable to a project seeking an Envision award.</t>
    </r>
  </si>
  <si>
    <t>Does the project create a significant number of new jobs during its design, construction, and operation?</t>
  </si>
  <si>
    <t>Does the project provide new operating capacity for business, industry, or the public?</t>
  </si>
  <si>
    <t>Does the project provide additional access, increase the number of choices, and/or increase the quality of infrastructure services for business, industry, or the public?</t>
  </si>
  <si>
    <t>Does the project improve community attractiveness for business, industry, or the public by generally improving the socioeconomic conditions of the community?</t>
  </si>
  <si>
    <t>Will the project stimulate economic prosperity and further economic development?</t>
  </si>
  <si>
    <t>LD3.2 Develop Local Skills and Capabilities</t>
  </si>
  <si>
    <r>
      <rPr>
        <b/>
        <sz val="8"/>
        <color theme="1"/>
        <rFont val="Open Sans Regular"/>
      </rPr>
      <t>Intent</t>
    </r>
    <r>
      <rPr>
        <sz val="8"/>
        <color theme="1"/>
        <rFont val="Open Sans Regular"/>
      </rPr>
      <t>: Expand the knowledge, skills, and capacity of the community workforce to improve their ability to grow and develop.</t>
    </r>
  </si>
  <si>
    <r>
      <rPr>
        <b/>
        <sz val="8"/>
        <color theme="1"/>
        <rFont val="Open Sans Regular"/>
      </rPr>
      <t>Metric</t>
    </r>
    <r>
      <rPr>
        <sz val="8"/>
        <color theme="1"/>
        <rFont val="Open Sans Regular"/>
      </rPr>
      <t>: The inclusion of current and future training programs, informed by skill or capability gaps, and targeted to economically depressed or underemployed communities.</t>
    </r>
  </si>
  <si>
    <r>
      <rPr>
        <b/>
        <sz val="8"/>
        <color theme="1"/>
        <rFont val="Open Sans Regular"/>
      </rPr>
      <t>Applicability:</t>
    </r>
    <r>
      <rPr>
        <sz val="8"/>
        <color theme="1"/>
        <rFont val="Open Sans Regular"/>
      </rPr>
      <t xml:space="preserve"> For this credit, an alternative compliance path is provided in the Evaluation Criteria and Documentation Guidance for projects that are too small to include independent training and skill development. It is therefore unlikely that a project could demonstrate no opportunity for education at any point during its planning, design, or construction. When organizational-level training programs are referenced, project teams must demonstrate a relevance to the project.</t>
    </r>
  </si>
  <si>
    <t>Will the project include training programs for local skill development?</t>
  </si>
  <si>
    <r>
      <t xml:space="preserve">Has the project team identified skill or capability gaps in the local workforce and targeted training programs to address them? </t>
    </r>
    <r>
      <rPr>
        <u/>
        <sz val="8"/>
        <color theme="1"/>
        <rFont val="Open Sans Regular"/>
      </rPr>
      <t xml:space="preserve">Select one of the following: </t>
    </r>
  </si>
  <si>
    <t>Will training, education, or skill development programs continue after project delivery?</t>
  </si>
  <si>
    <t>Will training and skill development programs specifically target economically depressed, underemployed, or disadvantaged communities?</t>
  </si>
  <si>
    <t>LD3.3 Conduct a Life-Cycle Economic Evaluation</t>
  </si>
  <si>
    <r>
      <rPr>
        <b/>
        <sz val="8"/>
        <color theme="1"/>
        <rFont val="Open Sans Regular"/>
      </rPr>
      <t>Intent</t>
    </r>
    <r>
      <rPr>
        <sz val="8"/>
        <color theme="1"/>
        <rFont val="Open Sans Regular"/>
      </rPr>
      <t>: Utilize economic analyses to identify the full economic implications and the broader social and environmental benefits of the project.</t>
    </r>
  </si>
  <si>
    <r>
      <rPr>
        <b/>
        <sz val="8"/>
        <color theme="1"/>
        <rFont val="Open Sans Regular"/>
      </rPr>
      <t xml:space="preserve">Metric: </t>
    </r>
    <r>
      <rPr>
        <sz val="8"/>
        <color theme="1"/>
        <rFont val="Open Sans Regular"/>
      </rPr>
      <t>The comprehensiveness of the economic analyses used to determine the net impacts of the project, and their use in assessing alternatives to inform decision making.</t>
    </r>
  </si>
  <si>
    <r>
      <rPr>
        <b/>
        <sz val="8"/>
        <color theme="1"/>
        <rFont val="Open Sans Regular"/>
      </rPr>
      <t>Applicability:</t>
    </r>
    <r>
      <rPr>
        <sz val="8"/>
        <color theme="1"/>
        <rFont val="Open Sans Regular"/>
      </rPr>
      <t xml:space="preserve"> It would be difficult to demonstrate that this credit is not relevant or applicable to a project seeking an Envision award.</t>
    </r>
  </si>
  <si>
    <t>Has a life-cycle cost analysis been conducted to identify the financial impacts of the whole project?</t>
  </si>
  <si>
    <t>Have life-cycle cost analyses been used to compare alternatives for at least one major project component?</t>
  </si>
  <si>
    <t>Has the project team mapped the social, environmental, and financial costs and benefits of the project?</t>
  </si>
  <si>
    <t>Has a cost benefit analysis been conducted to identify the financial, social, and environmental impacts of the whole project?</t>
  </si>
  <si>
    <t>Have cost benefit analyses, including financial, environmental, and social benefits, been used to compare the alternatives for at least one major project component?</t>
  </si>
  <si>
    <t xml:space="preserve">          Resource Allocation</t>
  </si>
  <si>
    <t>1. MATERIALS</t>
  </si>
  <si>
    <t>RA1.1 Support Sustainable Procurement Practices</t>
  </si>
  <si>
    <r>
      <t xml:space="preserve">Intent: </t>
    </r>
    <r>
      <rPr>
        <sz val="8"/>
        <color theme="1"/>
        <rFont val="Open Sans Regular"/>
      </rPr>
      <t>Develop sustainable procurement policies and programs to source materials and equipment from manufacturers and suppliers that implement sustainable practices.</t>
    </r>
  </si>
  <si>
    <r>
      <t xml:space="preserve">Metric: </t>
    </r>
    <r>
      <rPr>
        <sz val="8"/>
        <color theme="1"/>
        <rFont val="Open Sans Regular"/>
      </rPr>
      <t>The extent of sustainable procurement programs, and the percentage of materials sourced from manufacturers and/or suppliers that implement sustainable practices.</t>
    </r>
  </si>
  <si>
    <r>
      <rPr>
        <b/>
        <sz val="8"/>
        <color theme="1"/>
        <rFont val="Open Sans Regular"/>
      </rPr>
      <t>Applicability:</t>
    </r>
    <r>
      <rPr>
        <sz val="8"/>
        <color theme="1"/>
        <rFont val="Open Sans Regular"/>
      </rPr>
      <t xml:space="preserve"> This credit is applicable to all projects that include the use or consumption of physical materials in construction or operation.</t>
    </r>
  </si>
  <si>
    <t>Has the project team implemented a sustainable procurement policy or program?</t>
  </si>
  <si>
    <r>
      <t xml:space="preserve">To what extent do materials, supplies, equipment, manufacturers, and suppliers meet sustainable procurement policy/program requirements? </t>
    </r>
    <r>
      <rPr>
        <u/>
        <sz val="8"/>
        <color theme="1"/>
        <rFont val="Open Sans Regular"/>
      </rPr>
      <t>Select one of the following:</t>
    </r>
  </si>
  <si>
    <t>RA1.2 Use Recycled Materials</t>
  </si>
  <si>
    <r>
      <t>Intent:</t>
    </r>
    <r>
      <rPr>
        <sz val="8"/>
        <color theme="1"/>
        <rFont val="Open Sans Regular"/>
      </rPr>
      <t xml:space="preserve"> Reduce the use of virgin natural resources and avoid sending useful materials to landfills by specifying reused materials, including structures, and material with recycled content.</t>
    </r>
  </si>
  <si>
    <r>
      <t>Metric:</t>
    </r>
    <r>
      <rPr>
        <sz val="8"/>
        <color theme="1"/>
        <rFont val="Open Sans Regular"/>
      </rPr>
      <t xml:space="preserve"> Percentage of project materials that are reused or recycled. Plants, soil, rock, and water are not included in this credit.</t>
    </r>
  </si>
  <si>
    <r>
      <t xml:space="preserve">To what extent has the project team used recycled materials, including materials with recycled content and/or reused existing structures or materials? </t>
    </r>
    <r>
      <rPr>
        <u/>
        <sz val="8"/>
        <color theme="1"/>
        <rFont val="Open Sans Regular"/>
      </rPr>
      <t>Select one of the following:</t>
    </r>
  </si>
  <si>
    <t>RA1.3 Reduce Operational Waste</t>
  </si>
  <si>
    <r>
      <t xml:space="preserve">Intent: </t>
    </r>
    <r>
      <rPr>
        <sz val="8"/>
        <color theme="1"/>
        <rFont val="Open Sans Regular"/>
      </rPr>
      <t>Reduce operational waste and divert waste streams from disposal to recycling and reuse.</t>
    </r>
  </si>
  <si>
    <r>
      <t xml:space="preserve">Metric: </t>
    </r>
    <r>
      <rPr>
        <sz val="8"/>
        <color theme="1"/>
        <rFont val="Open Sans Regular"/>
      </rPr>
      <t>Percentage of total operational waste or byproducts diverted from disposal.</t>
    </r>
  </si>
  <si>
    <r>
      <rPr>
        <b/>
        <sz val="8"/>
        <color theme="1"/>
        <rFont val="Open Sans Regular"/>
      </rPr>
      <t>Applicability:</t>
    </r>
    <r>
      <rPr>
        <sz val="8"/>
        <color theme="1"/>
        <rFont val="Open Sans Regular"/>
      </rPr>
      <t xml:space="preserve"> This credit is applicable to all projects that produce operational waste or byproducts. Projects that do not include any operational waste may apply to have this credit deemed not applicable with supporting documentation.</t>
    </r>
  </si>
  <si>
    <t>Has the project team developed a waste management plan to decrease project waste and divert waste from landfills during operation?</t>
  </si>
  <si>
    <r>
      <t xml:space="preserve">To what extent has the project team reduced waste or diverted waste from landfills? </t>
    </r>
    <r>
      <rPr>
        <u/>
        <sz val="8"/>
        <color theme="1"/>
        <rFont val="Open Sans Regular"/>
      </rPr>
      <t>Select one of the following:</t>
    </r>
  </si>
  <si>
    <t>RA1.4 Reduce Construction Waste</t>
  </si>
  <si>
    <r>
      <t>Intent:</t>
    </r>
    <r>
      <rPr>
        <sz val="8"/>
        <color theme="1"/>
        <rFont val="Open Sans Regular"/>
      </rPr>
      <t xml:space="preserve"> Divert construction and demolition waste streams from disposal to recycling and reuse.</t>
    </r>
  </si>
  <si>
    <r>
      <t>Metric:</t>
    </r>
    <r>
      <rPr>
        <sz val="8"/>
        <color theme="1"/>
        <rFont val="Open Sans Regular"/>
      </rPr>
      <t xml:space="preserve"> Percentage of total waste diverted from disposal.</t>
    </r>
  </si>
  <si>
    <r>
      <rPr>
        <b/>
        <sz val="8"/>
        <color theme="1"/>
        <rFont val="Open Sans Regular"/>
      </rPr>
      <t>Applicability:</t>
    </r>
    <r>
      <rPr>
        <sz val="8"/>
        <color theme="1"/>
        <rFont val="Open Sans Regular"/>
      </rPr>
      <t xml:space="preserve"> This credit is applicable to all projects that produce construction waste. Projects that do not include any construction waste may apply to have this credit deemed not applicable with supporting documentation.</t>
    </r>
  </si>
  <si>
    <t>Has the project team developed a comprehensive waste management plan to decrease project waste and divert waste from landfills during construction?</t>
  </si>
  <si>
    <r>
      <t xml:space="preserve">To what extent has construction waste been diverted from landfills? </t>
    </r>
    <r>
      <rPr>
        <u/>
        <sz val="8"/>
        <color theme="1"/>
        <rFont val="Open Sans Regular"/>
      </rPr>
      <t>Select one of the following:</t>
    </r>
  </si>
  <si>
    <t>RA1.5 Balance Earthwork On Site</t>
  </si>
  <si>
    <r>
      <t>Intent</t>
    </r>
    <r>
      <rPr>
        <sz val="8"/>
        <color theme="1"/>
        <rFont val="Open Sans Regular"/>
      </rPr>
      <t>: Minimize the movement of soils and other excavated materials off site to reduce transportation and environmental impacts.</t>
    </r>
  </si>
  <si>
    <r>
      <t xml:space="preserve">Metric: </t>
    </r>
    <r>
      <rPr>
        <sz val="8"/>
        <color theme="1"/>
        <rFont val="Open Sans Regular"/>
      </rPr>
      <t>Percentage of excavated material retained on site or nearby.</t>
    </r>
  </si>
  <si>
    <r>
      <rPr>
        <b/>
        <sz val="8"/>
        <color theme="1"/>
        <rFont val="Open Sans Regular"/>
      </rPr>
      <t>Applicability:</t>
    </r>
    <r>
      <rPr>
        <sz val="8"/>
        <color theme="1"/>
        <rFont val="Open Sans Regular"/>
      </rPr>
      <t xml:space="preserve"> This credit is applicable to all projects that involve the excavation of qualifying earthwork. Projects that do not include any earthwork, or only involve the excavation of excluded material considered contaminated or hazardous, may apply to have this credit deemed not applicable with supporting documentation. In rare cases, where the amount of excavated soil is insignificant in comparison to the scale of the project, teams may apply to have this credit deemed not applicable with supporting documentation. However, the reviewer may exercise his/her discretion in determining what constitutes an insignificant quantity of excavated material in the context of the project.</t>
    </r>
  </si>
  <si>
    <r>
      <t xml:space="preserve">To what extent has the project team designed the project to balance cut and fill to reduce the excavated material taken off site? </t>
    </r>
    <r>
      <rPr>
        <u/>
        <sz val="8"/>
        <color theme="1"/>
        <rFont val="Open Sans Regular"/>
      </rPr>
      <t>Select one of the following:</t>
    </r>
  </si>
  <si>
    <t>2. ENERGY</t>
  </si>
  <si>
    <t>RA2.1 Reduce Operational Energy Consumption</t>
  </si>
  <si>
    <r>
      <t>Intent</t>
    </r>
    <r>
      <rPr>
        <sz val="8"/>
        <color theme="1"/>
        <rFont val="Open Sans Regular"/>
      </rPr>
      <t>: Conserve energy by reducing overall operational energy consumption throughout the project life.</t>
    </r>
  </si>
  <si>
    <r>
      <t xml:space="preserve">Metric: </t>
    </r>
    <r>
      <rPr>
        <sz val="8"/>
        <color theme="1"/>
        <rFont val="Open Sans Regular"/>
      </rPr>
      <t>Percentage of operational energy reductions achieved.</t>
    </r>
  </si>
  <si>
    <r>
      <rPr>
        <b/>
        <sz val="8"/>
        <color theme="1"/>
        <rFont val="Open Sans Regular"/>
      </rPr>
      <t>Applicability:</t>
    </r>
    <r>
      <rPr>
        <sz val="8"/>
        <color theme="1"/>
        <rFont val="Open Sans Regular"/>
      </rPr>
      <t xml:space="preserve"> This credit is applicable to all projects that consume energy during their operation. Projects that do not include operational energy may apply to have this credit deemed not applicable with supporting documentation. In rare cases, where the amount of operational energy use is insignificant in comparison to the scale of the project, teams may apply to have this credit deemed not applicable with supporting documentation. However, the reviewer may exercise his/her discretion in determining what constitutes an insignificant quantity of operational energy use in the context of the project.</t>
    </r>
  </si>
  <si>
    <t>Has the project team determined the estimated annual energy consumption of the project during operations?</t>
  </si>
  <si>
    <r>
      <t xml:space="preserve">To what extent has the project reduced operational energy consumption? </t>
    </r>
    <r>
      <rPr>
        <u/>
        <sz val="8"/>
        <color theme="1"/>
        <rFont val="Open Sans Regular"/>
      </rPr>
      <t xml:space="preserve">Select one of the following: </t>
    </r>
  </si>
  <si>
    <t>RA2.2 Reduce Construction Energy Consumption</t>
  </si>
  <si>
    <r>
      <t>Intent</t>
    </r>
    <r>
      <rPr>
        <sz val="8"/>
        <color theme="1"/>
        <rFont val="Open Sans Regular"/>
      </rPr>
      <t>: Conserve resources and reduce greenhouse gases and air pollutant emissions by reducing energy consumption during construction.</t>
    </r>
  </si>
  <si>
    <r>
      <t xml:space="preserve">Metric: </t>
    </r>
    <r>
      <rPr>
        <sz val="8"/>
        <color theme="1"/>
        <rFont val="Open Sans Regular"/>
      </rPr>
      <t>The number of strategies implemented on the project during construction that reduce energy consumption and emissions.</t>
    </r>
  </si>
  <si>
    <r>
      <rPr>
        <b/>
        <sz val="8"/>
        <color theme="1"/>
        <rFont val="Open Sans Regular"/>
      </rPr>
      <t>Applicability:</t>
    </r>
    <r>
      <rPr>
        <sz val="8"/>
        <color theme="1"/>
        <rFont val="Open Sans Regular"/>
      </rPr>
      <t xml:space="preserve"> This credit is applicable to all projects that consume energy during construction. It would therefore be difficult to demonstrate that the credit is not relevant or applicable to a project seeking an Envision award. In rare cases, where the amount of energy used during construction is insignificant in comparison to the scale of the project, teams may apply to have this credit deemed not applicable with supporting documentation. However, the reviewer may exercise his/her discretion in determining what constitutes an insignificant quantity of construction energy use in the context of the project.</t>
    </r>
  </si>
  <si>
    <t>Has the project team conducted planning reviews to reduce energy consumption during construction?</t>
  </si>
  <si>
    <r>
      <t xml:space="preserve">To what extent have energy conservation strategies been implemented during construction? (strategies are listed in the Envision Guidance Manual) </t>
    </r>
    <r>
      <rPr>
        <u/>
        <sz val="8"/>
        <color theme="1"/>
        <rFont val="Open Sans Regular"/>
      </rPr>
      <t xml:space="preserve">Select one of the following: </t>
    </r>
  </si>
  <si>
    <t>RA2.3 Use Renewable Energy</t>
  </si>
  <si>
    <r>
      <t>Intent</t>
    </r>
    <r>
      <rPr>
        <sz val="8"/>
        <color theme="1"/>
        <rFont val="Open Sans Regular"/>
      </rPr>
      <t>: Meet operational energy needs through renewable energy sources.</t>
    </r>
  </si>
  <si>
    <r>
      <t xml:space="preserve">Metric: </t>
    </r>
    <r>
      <rPr>
        <sz val="8"/>
        <color theme="1"/>
        <rFont val="Open Sans Regular"/>
      </rPr>
      <t>Extent to which renewable energy sources are incorporated.</t>
    </r>
  </si>
  <si>
    <r>
      <rPr>
        <b/>
        <sz val="8"/>
        <color theme="1"/>
        <rFont val="Open Sans Regular"/>
      </rPr>
      <t>Applicability:</t>
    </r>
    <r>
      <rPr>
        <sz val="8"/>
        <color theme="1"/>
        <rFont val="Open Sans Regular"/>
      </rPr>
      <t xml:space="preserve"> This credit is applicable to all projects that consume energy (fuel or electricity) during their operation. Projects that do not include operational energy may apply to have this credit deemed not applicable with supporting documentation. In rare cases, where the amount of operational energy use is insignificant in comparison to the scale of the project, teams may apply to have this credit deemed not applicable with supporting documentation. However, the reviewer may exercise his/her discretion in determining what constitutes an insignificant quantity of operational energy use in the context of the project.</t>
    </r>
  </si>
  <si>
    <r>
      <t xml:space="preserve">To what extent does the project meet electricity or fuel needs from renewable sources? </t>
    </r>
    <r>
      <rPr>
        <u/>
        <sz val="8"/>
        <color theme="1"/>
        <rFont val="Open Sans Regular"/>
      </rPr>
      <t xml:space="preserve">Select one of the following: </t>
    </r>
  </si>
  <si>
    <t>RA2.4 Commission and Monitor Energy Systems</t>
  </si>
  <si>
    <r>
      <t>Intent</t>
    </r>
    <r>
      <rPr>
        <sz val="8"/>
        <color theme="1"/>
        <rFont val="Open Sans Regular"/>
      </rPr>
      <t>: Ensure efficient functioning and extend useful life by specifying commissioning and monitoring of energy systems.</t>
    </r>
  </si>
  <si>
    <r>
      <t xml:space="preserve">Metric: </t>
    </r>
    <r>
      <rPr>
        <sz val="8"/>
        <color theme="1"/>
        <rFont val="Open Sans Regular"/>
      </rPr>
      <t>The inclusion of monitoring equipment and software, the extent of commissioning, and the commissioning agent’s independence from the project.</t>
    </r>
  </si>
  <si>
    <r>
      <t xml:space="preserve">Does the design incorporate advanced integrated monitoring systems in order to enable more efficient operations? </t>
    </r>
    <r>
      <rPr>
        <u/>
        <sz val="8"/>
        <color theme="1"/>
        <rFont val="Open Sans Regular"/>
      </rPr>
      <t>Select one of the following:</t>
    </r>
  </si>
  <si>
    <r>
      <t xml:space="preserve">To what extent has a commissioning been conducted? </t>
    </r>
    <r>
      <rPr>
        <u/>
        <sz val="8"/>
        <color theme="1"/>
        <rFont val="Open Sans Regular"/>
      </rPr>
      <t>Select one of the following:</t>
    </r>
    <r>
      <rPr>
        <sz val="8"/>
        <color theme="1"/>
        <rFont val="Open Sans Regular"/>
      </rPr>
      <t xml:space="preserve"> </t>
    </r>
  </si>
  <si>
    <t>Is there a plan for ongoing commissioning of the energy systems throughout the project’s life?</t>
  </si>
  <si>
    <t>RA3.1 Preserve Water Resources</t>
  </si>
  <si>
    <r>
      <t>Intent</t>
    </r>
    <r>
      <rPr>
        <sz val="8"/>
        <color theme="1"/>
        <rFont val="Open Sans Regular"/>
      </rPr>
      <t>: Assess and reduce the negative net impact on fresh water availability, quantity, and quality at a watershed scale to positively impact the region’s water resources.</t>
    </r>
  </si>
  <si>
    <r>
      <t>Metric</t>
    </r>
    <r>
      <rPr>
        <sz val="8"/>
        <color theme="1"/>
        <rFont val="Open Sans Regular"/>
      </rPr>
      <t>: The extent to which the project considers and contributes to positively addressing broader watershed issues.</t>
    </r>
  </si>
  <si>
    <r>
      <rPr>
        <b/>
        <sz val="8"/>
        <color theme="1"/>
        <rFont val="Open Sans Regular"/>
      </rPr>
      <t>Applicability:</t>
    </r>
    <r>
      <rPr>
        <sz val="8"/>
        <color theme="1"/>
        <rFont val="Open Sans Regular"/>
      </rPr>
      <t xml:space="preserve"> This credit is applicable to all projects that consume water or impact receiving waters. Projects that do not include any impacts to water quantity or quality may apply to have this credit deemed not applicable with supporting documentation. In rare cases, where the impact to water quantity or quality is insignificant in comparison to the scale of the project, teams may apply to have this credit deemed not applicable with supporting documentation. However, the reviewer may exercise his/her discretion in determining what constitutes an insignificant impact to water quantity or quality use in the context of the project.</t>
    </r>
  </si>
  <si>
    <t>Has the project team conducted a watershed assessment?</t>
  </si>
  <si>
    <t>Has the project team estimated the water usage and wastewater generation over the life of the project?</t>
  </si>
  <si>
    <t>Does the project include features to minimize the negative impacts of water usage, and/or watershed-scale issues?</t>
  </si>
  <si>
    <t>Does the project have a net-zero impact on the quantity and availability of fresh surface water and groundwater supplies without compromising water quality?</t>
  </si>
  <si>
    <t>Is the project part of a watershed-level or regional plan?</t>
  </si>
  <si>
    <t>Does the project make a direct net-positive improvement to the watershed?</t>
  </si>
  <si>
    <t>RA3.2 Reduce Operational Water Consumption</t>
  </si>
  <si>
    <r>
      <t>Intent</t>
    </r>
    <r>
      <rPr>
        <sz val="8"/>
        <color theme="1"/>
        <rFont val="Open Sans Regular"/>
      </rPr>
      <t>: Reduce overall water consumption while encouraging the use of greywater, recycled water, and stormwater to meet water needs.</t>
    </r>
  </si>
  <si>
    <r>
      <t xml:space="preserve">Metric: </t>
    </r>
    <r>
      <rPr>
        <sz val="8"/>
        <color theme="1"/>
        <rFont val="Open Sans Regular"/>
      </rPr>
      <t>Percentage reduction in potable water use and overall water use.</t>
    </r>
  </si>
  <si>
    <r>
      <rPr>
        <b/>
        <sz val="8"/>
        <color theme="1"/>
        <rFont val="Open Sans Regular"/>
      </rPr>
      <t>Applicability:</t>
    </r>
    <r>
      <rPr>
        <sz val="8"/>
        <color theme="1"/>
        <rFont val="Open Sans Regular"/>
      </rPr>
      <t xml:space="preserve"> This credit is applicable to all projects that consume water during operations. Projects that do not include any operational water consumption may apply to have this credit deemed not applicable with supporting documentation. In rare cases, where the amount of water consumption is insignificant in comparison to the scale of the project, teams may apply to have this credit deemed not applicable with supporting documentation. However, the reviewer may exercise his/her discretion in determining what constitutes an insignificant quantity of operational water use in the context of the project.</t>
    </r>
  </si>
  <si>
    <t>Has the project team conducted planning and design reviews to identify potable water reduction strategies during operation of the project?</t>
  </si>
  <si>
    <r>
      <t xml:space="preserve">To what extent has the project reduced potable water use? </t>
    </r>
    <r>
      <rPr>
        <u/>
        <sz val="8"/>
        <color theme="1"/>
        <rFont val="Open Sans Regular"/>
      </rPr>
      <t xml:space="preserve">Select one of the following: </t>
    </r>
  </si>
  <si>
    <r>
      <t xml:space="preserve">To what extent has the project reduced overall water use (including potable and nonpotable water)? </t>
    </r>
    <r>
      <rPr>
        <u/>
        <sz val="8"/>
        <color theme="1"/>
        <rFont val="Open Sans Regular"/>
      </rPr>
      <t xml:space="preserve">Select one of the following: </t>
    </r>
  </si>
  <si>
    <t>Does the project have a net positive impact on water use?</t>
  </si>
  <si>
    <t>RA3.3 Reduce Construction Water Consumption</t>
  </si>
  <si>
    <r>
      <t xml:space="preserve">Intent: </t>
    </r>
    <r>
      <rPr>
        <sz val="8"/>
        <color theme="1"/>
        <rFont val="Open Sans Regular"/>
      </rPr>
      <t>Reduce potable water consumption during construction.</t>
    </r>
  </si>
  <si>
    <r>
      <t xml:space="preserve">Metric: </t>
    </r>
    <r>
      <rPr>
        <sz val="8"/>
        <color theme="1"/>
        <rFont val="Open Sans Regular"/>
      </rPr>
      <t>The number of strategies implemented during construction that reduce potable water consumption.</t>
    </r>
  </si>
  <si>
    <r>
      <rPr>
        <b/>
        <sz val="8"/>
        <color theme="1"/>
        <rFont val="Open Sans Regular"/>
      </rPr>
      <t>Applicability</t>
    </r>
    <r>
      <rPr>
        <sz val="8"/>
        <color theme="1"/>
        <rFont val="Open Sans Regular"/>
      </rPr>
      <t>: This credit is applicable to all projects that consume water during construction. Projects that do not include any operational water consumption may apply to have this credit deemed not applicable with supporting documentation. In cases where the amount of water consumption during operations is insignificant in comparison to the scale of the project, teams may apply to have this credit deemed not applicable with supporting documentation. However, the reviewer may exercise his/her discretion in determining what constitutes an insignificant quantity of operational energy use in the context of the project.</t>
    </r>
  </si>
  <si>
    <t>Has the project team conducted planning reviews to reduce water consumption during construction?</t>
  </si>
  <si>
    <r>
      <t xml:space="preserve">To what extent have water conservation strategies been implemented during construction? </t>
    </r>
    <r>
      <rPr>
        <u/>
        <sz val="8"/>
        <color theme="1"/>
        <rFont val="Open Sans Regular"/>
      </rPr>
      <t xml:space="preserve">Select one of the following: </t>
    </r>
  </si>
  <si>
    <t>RA3.4 Monitor Water Systems</t>
  </si>
  <si>
    <r>
      <t xml:space="preserve">Intent: </t>
    </r>
    <r>
      <rPr>
        <sz val="8"/>
        <color theme="1"/>
        <rFont val="Open Sans Regular"/>
      </rPr>
      <t>Improve operational performance by including monitoring capabilities.</t>
    </r>
  </si>
  <si>
    <r>
      <t xml:space="preserve">Metric: </t>
    </r>
    <r>
      <rPr>
        <sz val="8"/>
        <color theme="1"/>
        <rFont val="Open Sans Regular"/>
      </rPr>
      <t>Extent and capability of water monitoring equipment and inclusion of response plans.</t>
    </r>
  </si>
  <si>
    <r>
      <rPr>
        <b/>
        <sz val="8"/>
        <color theme="1"/>
        <rFont val="Open Sans Regular"/>
      </rPr>
      <t>Applicability</t>
    </r>
    <r>
      <rPr>
        <sz val="8"/>
        <color theme="1"/>
        <rFont val="Open Sans Regular"/>
      </rPr>
      <t>: This credit is applicable to all projects that consume water during their operation or include the conveyance of large quantities of water. Projects that do not include operational water use or water conveyance may apply to have this credit deemed not applicable with supporting documentation. In rare cases, where the amount of operational water use, or conveyance, is insignificant in comparison to the scale of the project, teams may apply to have this credit deemed not applicable with supporting documentation. However, the reviewer may exercise his/her discretion in determining what constitutes an insignificant quantity of water use in the context of the project.</t>
    </r>
  </si>
  <si>
    <r>
      <t>Does the design incorporate advanced integrated monitoring systems in order to improve performance?</t>
    </r>
    <r>
      <rPr>
        <u/>
        <sz val="8"/>
        <color theme="1"/>
        <rFont val="Open Sans Regular"/>
      </rPr>
      <t xml:space="preserve"> Select one of the following:</t>
    </r>
  </si>
  <si>
    <t>Does the project include real-time water monitoring?</t>
  </si>
  <si>
    <t xml:space="preserve">          Natural World</t>
  </si>
  <si>
    <t>1. SITING</t>
  </si>
  <si>
    <t>NW1.1 Preserve Sites of High Ecological Value</t>
  </si>
  <si>
    <r>
      <t xml:space="preserve">Intent: </t>
    </r>
    <r>
      <rPr>
        <sz val="8"/>
        <color theme="1"/>
        <rFont val="Open Sans Regular"/>
      </rPr>
      <t>Avoid placing the project and temporary works on a site that has been identified as being of high ecological value.</t>
    </r>
  </si>
  <si>
    <r>
      <t xml:space="preserve">Metric: </t>
    </r>
    <r>
      <rPr>
        <sz val="8"/>
        <color theme="1"/>
        <rFont val="Open Sans Regular"/>
      </rPr>
      <t>Avoidance of high ecological value sites and establishment of protective buffer zones.</t>
    </r>
  </si>
  <si>
    <r>
      <rPr>
        <b/>
        <sz val="8"/>
        <color theme="1"/>
        <rFont val="Open Sans Regular"/>
      </rPr>
      <t>Applicability:</t>
    </r>
    <r>
      <rPr>
        <sz val="8"/>
        <color theme="1"/>
        <rFont val="Open Sans Regular"/>
      </rPr>
      <t xml:space="preserve"> Projects that do not contain areas of high ecological value, and cannot demonstrate they actively avoided areas of high ecological value, may apply to have this credit deemed not applicable with supporting documentation.</t>
    </r>
  </si>
  <si>
    <t>Has the project team identified whether the site contains areas of high ecological value?</t>
  </si>
  <si>
    <r>
      <t xml:space="preserve">Has the project mitigated any areas of high ecological value that are disturbed? </t>
    </r>
    <r>
      <rPr>
        <u/>
        <sz val="8"/>
        <color theme="1"/>
        <rFont val="Open Sans Regular"/>
      </rPr>
      <t>Select one of the following:</t>
    </r>
  </si>
  <si>
    <t>Does the project avoid developing or disturbing areas of high ecological value on site?</t>
  </si>
  <si>
    <t>Does the project preserve an effective protective buffer zone around areas of high ecological value?</t>
  </si>
  <si>
    <t>Was the project intentionally sited to avoid areas of high ecological value?</t>
  </si>
  <si>
    <t>Does the project significantly increase the area of high ecological value?</t>
  </si>
  <si>
    <t>NW1.2 Provide Wetland and Surface Water Buffers</t>
  </si>
  <si>
    <r>
      <t>Intent:</t>
    </r>
    <r>
      <rPr>
        <sz val="8"/>
        <color theme="1"/>
        <rFont val="Open Sans Regular"/>
      </rPr>
      <t xml:space="preserve"> Protect, buffer, enhance, and restore wetlands, shorelines, and waterbodies by providing natural buffer zones, vegetation, and soil-protection zones.</t>
    </r>
  </si>
  <si>
    <r>
      <t>Metric:</t>
    </r>
    <r>
      <rPr>
        <sz val="8"/>
        <color theme="1"/>
        <rFont val="Open Sans Regular"/>
      </rPr>
      <t xml:space="preserve"> Type and quality of natural buffer zone established around all wetlands, shorelines, and waterbodies.</t>
    </r>
  </si>
  <si>
    <r>
      <rPr>
        <b/>
        <sz val="8"/>
        <color theme="1"/>
        <rFont val="Open Sans Regular"/>
      </rPr>
      <t>Applicability:</t>
    </r>
    <r>
      <rPr>
        <sz val="8"/>
        <color theme="1"/>
        <rFont val="Open Sans Regular"/>
      </rPr>
      <t xml:space="preserve"> Projects that do not contain wetlands or surface waters, and for which no siting options containing wetlands or surface waters were possible or seriously considered, may apply to have this credit deemed not applicable with supporting documentation.</t>
    </r>
  </si>
  <si>
    <t>Has the project team identified wetlands and surface waters on or near the site?</t>
  </si>
  <si>
    <t>Has the project team determined the type and width of buffer zones necessary to protect wetlands and surface waters?</t>
  </si>
  <si>
    <r>
      <t xml:space="preserve">To what extent has the project implemented protective buffer zones around wetlands and surface waters? </t>
    </r>
    <r>
      <rPr>
        <u/>
        <sz val="8"/>
        <color theme="1"/>
        <rFont val="Open Sans Regular"/>
      </rPr>
      <t>Select one of the following:</t>
    </r>
  </si>
  <si>
    <t>Was the project intentionally sited to avoid wetlands and surface waters?</t>
  </si>
  <si>
    <t>Will the project involve returning previously developed or disturbed sites within the buffer zone to a natural state?</t>
  </si>
  <si>
    <t>NW1.3 Preserve Prime Farmland</t>
  </si>
  <si>
    <r>
      <t xml:space="preserve">Intent: </t>
    </r>
    <r>
      <rPr>
        <sz val="8"/>
        <color theme="1"/>
        <rFont val="Open Sans Regular"/>
      </rPr>
      <t>Identify and protect soils designated as prime farmland, unique farmland, or farmland of importance.</t>
    </r>
  </si>
  <si>
    <r>
      <t xml:space="preserve">Metric: </t>
    </r>
    <r>
      <rPr>
        <sz val="8"/>
        <color theme="1"/>
        <rFont val="Open Sans Regular"/>
      </rPr>
      <t>Percentage of farmland avoided or preserved during development.</t>
    </r>
  </si>
  <si>
    <r>
      <rPr>
        <b/>
        <sz val="8"/>
        <color theme="1"/>
        <rFont val="Open Sans Regular"/>
      </rPr>
      <t>Applicability:</t>
    </r>
    <r>
      <rPr>
        <sz val="8"/>
        <color theme="1"/>
        <rFont val="Open Sans Regular"/>
      </rPr>
      <t xml:space="preserve"> Projects that do not contain prime farmland, and for which no siting options containing prime farmland were possible or seriously considered, may apply to have this credit deemed not applicable with supporting documentation.</t>
    </r>
  </si>
  <si>
    <t>Has the project team assessed the project site for soils identified as prime farmland, unique farmland, or farmland of importance?</t>
  </si>
  <si>
    <r>
      <t xml:space="preserve">To what extent will the project protect or preserve prime farmland, unique farmland, or farmland or importance? </t>
    </r>
    <r>
      <rPr>
        <u/>
        <sz val="8"/>
        <color theme="1"/>
        <rFont val="Open Sans Regular"/>
      </rPr>
      <t>Select one of the following:</t>
    </r>
  </si>
  <si>
    <t>Has the project team mitigated any damage or disturbance to prime farmland, unique farmland, or farmland of importance?</t>
  </si>
  <si>
    <t>Was the project intentionally sited to avoid prime farmland?</t>
  </si>
  <si>
    <t>Does the project preserve existing farmland for posterity or restore previously disturbed farmland?</t>
  </si>
  <si>
    <t>NW1.4 Preserve Undeveloped Land</t>
  </si>
  <si>
    <r>
      <t>Intent:</t>
    </r>
    <r>
      <rPr>
        <sz val="8"/>
        <color theme="1"/>
        <rFont val="Open Sans Regular"/>
      </rPr>
      <t xml:space="preserve"> Conserve undeveloped land by locating projects on previously developed land.</t>
    </r>
  </si>
  <si>
    <r>
      <t>Metric:</t>
    </r>
    <r>
      <rPr>
        <sz val="8"/>
        <color theme="1"/>
        <rFont val="Open Sans Regular"/>
      </rPr>
      <t xml:space="preserve"> Percentage of project development that is located on previously developed land.</t>
    </r>
  </si>
  <si>
    <r>
      <rPr>
        <b/>
        <sz val="8"/>
        <color theme="1"/>
        <rFont val="Open Sans Regular"/>
      </rPr>
      <t>Applicability:</t>
    </r>
    <r>
      <rPr>
        <sz val="8"/>
        <color theme="1"/>
        <rFont val="Open Sans Regular"/>
      </rPr>
      <t xml:space="preserve"> Assessment of this credit is determined by the extent to which the project is located on previously developed land or previously undeveloped land. As all land falls within these two classifications, it would be difficult to demonstrate that the credit is not applicable. Inability to locate the project on developed land is not sufficient justification to remove this credit from consideration.</t>
    </r>
  </si>
  <si>
    <r>
      <t xml:space="preserve">To what extent is the project located on previously developed land? </t>
    </r>
    <r>
      <rPr>
        <u/>
        <sz val="8"/>
        <color theme="1"/>
        <rFont val="Open Sans Regular"/>
      </rPr>
      <t>Select one of the following:</t>
    </r>
  </si>
  <si>
    <t>Has the project returned developed areas to a condition that supports natural open space, habitat, or natural hydrology?</t>
  </si>
  <si>
    <t>2. CONSERVATION</t>
  </si>
  <si>
    <t>NW2.1 Reclaim Brownfields</t>
  </si>
  <si>
    <r>
      <t>Intent</t>
    </r>
    <r>
      <rPr>
        <sz val="8"/>
        <color theme="1"/>
        <rFont val="Open Sans Regular"/>
      </rPr>
      <t>: Locate projects on sites classified as brownfields.</t>
    </r>
  </si>
  <si>
    <r>
      <t xml:space="preserve">Metric: </t>
    </r>
    <r>
      <rPr>
        <sz val="8"/>
        <color theme="1"/>
        <rFont val="Open Sans Regular"/>
      </rPr>
      <t>The extent of remediation of the brownfield site.</t>
    </r>
  </si>
  <si>
    <r>
      <rPr>
        <b/>
        <sz val="8"/>
        <color theme="1"/>
        <rFont val="Open Sans Regular"/>
      </rPr>
      <t>Applicability:</t>
    </r>
    <r>
      <rPr>
        <sz val="8"/>
        <color theme="1"/>
        <rFont val="Open Sans Regular"/>
      </rPr>
      <t xml:space="preserve"> Project teams that were unable to identify a suitable site may apply to have this credit deemed not applicable with supporting documentation that efforts were made. If no evidence is provided that any consideration was given to locating the project on a brownfield, the credit is considered applicable and no points achieved.</t>
    </r>
  </si>
  <si>
    <t>Is the project located on a site currently identified as a closed brownfield?</t>
  </si>
  <si>
    <t>Is the project located on a site currently identified as an active brownfield?</t>
  </si>
  <si>
    <r>
      <t xml:space="preserve">To what extent has the project mitigated or remediated the site? </t>
    </r>
    <r>
      <rPr>
        <u/>
        <sz val="8"/>
        <color theme="1"/>
        <rFont val="Open Sans Regular"/>
      </rPr>
      <t>Select one of the following:</t>
    </r>
  </si>
  <si>
    <t>Has the brownfield site been closed or deregulated?</t>
  </si>
  <si>
    <t>NW2.2 Manage Stormwater</t>
  </si>
  <si>
    <r>
      <t>Intent</t>
    </r>
    <r>
      <rPr>
        <sz val="8"/>
        <color theme="1"/>
        <rFont val="Open Sans Regular"/>
      </rPr>
      <t>: Minimize the impact of development on stormwater runoff quantity, rate, and quality.</t>
    </r>
  </si>
  <si>
    <r>
      <t xml:space="preserve">Metric: </t>
    </r>
    <r>
      <rPr>
        <sz val="8"/>
        <color theme="1"/>
        <rFont val="Open Sans Regular"/>
      </rPr>
      <t>Degree to which the project infiltrates, evapotranspirates, reuses, and/or treats stormwater while not exceeding rate or quantity runoff targets.</t>
    </r>
  </si>
  <si>
    <r>
      <rPr>
        <b/>
        <sz val="8"/>
        <color theme="1"/>
        <rFont val="Open Sans Regular"/>
      </rPr>
      <t>Applicability:</t>
    </r>
    <r>
      <rPr>
        <sz val="8"/>
        <color theme="1"/>
        <rFont val="Open Sans Regular"/>
      </rPr>
      <t xml:space="preserve"> This credit is applicable to all projects that impact stormwater runoff. In rare cases, where the impact on stormwater runoff is insignificant in comparison to the scale of the project, teams may apply to have this credit deemed not applicable with supporting documentation. However, the reviewer may exercise his/her discretion in determining what constitutes an insignificant impact on stormwater runoff in the context of the project.</t>
    </r>
  </si>
  <si>
    <r>
      <t xml:space="preserve">To what extent does the project infiltrate, evapotranspirate, reuse, and/or treat stormwater on site? </t>
    </r>
    <r>
      <rPr>
        <u/>
        <sz val="8"/>
        <color theme="1"/>
        <rFont val="Open Sans Regular"/>
      </rPr>
      <t xml:space="preserve">Select one of the following: </t>
    </r>
  </si>
  <si>
    <r>
      <t xml:space="preserve">To what extent does the completed project limit rate or quantity of runoff compared to existing conditions? </t>
    </r>
    <r>
      <rPr>
        <u/>
        <sz val="8"/>
        <color theme="1"/>
        <rFont val="Open Sans Regular"/>
      </rPr>
      <t xml:space="preserve">Select one of the following: </t>
    </r>
  </si>
  <si>
    <t>Does the project include an erosion, sedimentation, and pollution control plan for all construction activities?</t>
  </si>
  <si>
    <t>Does the project treat stormwater from other sites or does it function as part of a larger stormwater management plan?</t>
  </si>
  <si>
    <t>NW2.3 Reduce Pesticide and Fertilizer Impacts</t>
  </si>
  <si>
    <r>
      <t>Intent</t>
    </r>
    <r>
      <rPr>
        <sz val="8"/>
        <color theme="1"/>
        <rFont val="Open Sans Regular"/>
      </rPr>
      <t>: Reduce non-point-source pollution by reducing the quantity, toxicity, bioavailability, and persistence of pesticides and fertilizers</t>
    </r>
    <r>
      <rPr>
        <b/>
        <sz val="8"/>
        <color theme="1"/>
        <rFont val="Open Sans Regular"/>
      </rPr>
      <t>.</t>
    </r>
  </si>
  <si>
    <r>
      <t xml:space="preserve">Metric: </t>
    </r>
    <r>
      <rPr>
        <sz val="8"/>
        <color theme="1"/>
        <rFont val="Open Sans Regular"/>
      </rPr>
      <t>Reductions in quantity, toxicity, bioavailability, and persistence of pesticides and fertilizers used on site, selection of plant species, and use of integrated pest management techniques.</t>
    </r>
  </si>
  <si>
    <r>
      <rPr>
        <b/>
        <sz val="8"/>
        <color theme="1"/>
        <rFont val="Open Sans Regular"/>
      </rPr>
      <t>Applicability:</t>
    </r>
    <r>
      <rPr>
        <sz val="8"/>
        <color theme="1"/>
        <rFont val="Open Sans Regular"/>
      </rPr>
      <t xml:space="preserve"> Consideration is given as to whether the scope of the project includes exterior vegetated areas. Projects that do not include exterior vegetated areas may apply to have this credit deemed not applicable with supporting documentation.</t>
    </r>
  </si>
  <si>
    <t>Have operational policies and programs been put in place to control the application of fertilizers and pesticides?</t>
  </si>
  <si>
    <t>Have runoff controls been put in place to minimize contamination of groundwater and surface water?</t>
  </si>
  <si>
    <r>
      <t xml:space="preserve">To what extent has the project team designed landscaping to require fewer pesticides and fertilizers? </t>
    </r>
    <r>
      <rPr>
        <u/>
        <sz val="8"/>
        <color theme="1"/>
        <rFont val="Open Sans Regular"/>
      </rPr>
      <t xml:space="preserve">Select one of the following: </t>
    </r>
  </si>
  <si>
    <t>Has the project team selected pesticides and fertilizers that have lower toxicity, persistence, and bioavailability?</t>
  </si>
  <si>
    <t>NW2.4 Protect Surface and Groundwater Quality</t>
  </si>
  <si>
    <r>
      <t>Intent</t>
    </r>
    <r>
      <rPr>
        <sz val="8"/>
        <color theme="1"/>
        <rFont val="Open Sans Regular"/>
      </rPr>
      <t>: Preserve water resources by preventing pollutants from contaminating surface water and groundwater and monitoring impacts during construction and operations.</t>
    </r>
  </si>
  <si>
    <r>
      <t xml:space="preserve">Metric: </t>
    </r>
    <r>
      <rPr>
        <sz val="8"/>
        <color theme="1"/>
        <rFont val="Open Sans Regular"/>
      </rPr>
      <t>Designs, plans, and programs instituted to prevent and monitor surface water and groundwater contamination during construction and operations.</t>
    </r>
  </si>
  <si>
    <r>
      <rPr>
        <b/>
        <sz val="8"/>
        <color theme="1"/>
        <rFont val="Open Sans Regular"/>
      </rPr>
      <t>Applicability:</t>
    </r>
    <r>
      <rPr>
        <sz val="8"/>
        <color theme="1"/>
        <rFont val="Open Sans Regular"/>
      </rPr>
      <t xml:space="preserve"> This credit is applicable to all projects that contain or use hazardous and/or potentially polluting substances with the potential to contaminate water sources. In addition to chemical use, project teams should consider how chemical leaching from materials may be a source of contamination.</t>
    </r>
  </si>
  <si>
    <t>Has project team determined the potential for surface water and/or groundwater contamination during construction and operations?</t>
  </si>
  <si>
    <t>Does the project include spill and leak prevention and response plans, and avoid creating new pathways for contamination during construction and operations?</t>
  </si>
  <si>
    <t>Based on the types of impacts identified in criterion A, does the project reduces the risk of quality degradation to surface water and/or groundwater? This should include water temperature.</t>
  </si>
  <si>
    <t>Have adequate and responsive surface water and/or groundwater quality monitoring and reporting systems been incorporated into the project?</t>
  </si>
  <si>
    <t>Has the project actively eliminated at least one source of hazardous and/or potentially polluting substances, or replaced them with nonhazardous or nonpolluting substances or materials?</t>
  </si>
  <si>
    <t>Does the project improve surface water and/or groundwater quality?</t>
  </si>
  <si>
    <t>2. ECOLOGY</t>
  </si>
  <si>
    <t>NW3.1 Enhance Functional Habitats</t>
  </si>
  <si>
    <r>
      <t>Intent</t>
    </r>
    <r>
      <rPr>
        <sz val="8"/>
        <color theme="1"/>
        <rFont val="Open Sans Regular"/>
      </rPr>
      <t>: Preserve and improve the functionality of terrestrial (land) habitats.</t>
    </r>
  </si>
  <si>
    <r>
      <t xml:space="preserve">Metric: </t>
    </r>
    <r>
      <rPr>
        <sz val="8"/>
        <color theme="1"/>
        <rFont val="Open Sans Regular"/>
      </rPr>
      <t>The number of habitat functions addressed in order to preserve or enhance the net area and quality of functional habitat.</t>
    </r>
  </si>
  <si>
    <r>
      <rPr>
        <b/>
        <sz val="8"/>
        <color theme="1"/>
        <rFont val="Open Sans Regular"/>
      </rPr>
      <t>Applicability:</t>
    </r>
    <r>
      <rPr>
        <sz val="8"/>
        <color theme="1"/>
        <rFont val="Open Sans Regular"/>
      </rPr>
      <t xml:space="preserve"> Consideration is given to whether the project contains or impacts natural habitat. Projects that do not contain or impact natural habitat may apply to have this credit deemed not applicable with supporting documentation.</t>
    </r>
  </si>
  <si>
    <t>Has the project team identified existing terrestrial habitats and sited the project to minimize impact?</t>
  </si>
  <si>
    <r>
      <t xml:space="preserve">Does the project mitigate all disturbances to functional terrestrial (land) habitats? </t>
    </r>
    <r>
      <rPr>
        <u/>
        <sz val="8"/>
        <color theme="1"/>
        <rFont val="Open Sans Regular"/>
      </rPr>
      <t>Select one of the following:</t>
    </r>
  </si>
  <si>
    <t>Does the project increase the quantity of terrestrial habitat?</t>
  </si>
  <si>
    <t>Does the project improve the quality of any existing or proposed new terrestrial habitat?</t>
  </si>
  <si>
    <t>Does the project facilitate movement between terrestrial habitats, provide new connections, or remove barriers, in order to improve habitat connectivity?</t>
  </si>
  <si>
    <t>Does the project return developed land to natural habitat, or set aside existing habitat for permanent conservation and protection?</t>
  </si>
  <si>
    <t>NW3.2 Enhance Wetland and Surface Water Functions</t>
  </si>
  <si>
    <r>
      <t>Intent</t>
    </r>
    <r>
      <rPr>
        <sz val="8"/>
        <color theme="1"/>
        <rFont val="Open Sans Regular"/>
      </rPr>
      <t>: Maintain and restore the ecosystem functions of streams, wetlands, waterbodies, and their riparian areas.</t>
    </r>
  </si>
  <si>
    <r>
      <t>Metric</t>
    </r>
    <r>
      <rPr>
        <sz val="8"/>
        <color theme="1"/>
        <rFont val="Open Sans Regular"/>
      </rPr>
      <t>: Number of functions maintained and restored.</t>
    </r>
  </si>
  <si>
    <r>
      <rPr>
        <b/>
        <sz val="8"/>
        <color theme="1"/>
        <rFont val="Open Sans Regular"/>
      </rPr>
      <t>Applicability:</t>
    </r>
    <r>
      <rPr>
        <sz val="8"/>
        <color theme="1"/>
        <rFont val="Open Sans Regular"/>
      </rPr>
      <t xml:space="preserve"> Consideration is given to whether the project contains or impacts wetlands or surface waters. This includes direct, indirect, and/or cumulative impacts. Projects that do not contain or impact natural wetlands or surface waters may apply to have this credit deemed not applicable with supporting documentation</t>
    </r>
  </si>
  <si>
    <t>Has the project team identified impacts to wetland and surface water functions?</t>
  </si>
  <si>
    <r>
      <t xml:space="preserve">Does the project minimize and mitigate disturbance to wetland and surface water functions? </t>
    </r>
    <r>
      <rPr>
        <u/>
        <sz val="8"/>
        <color theme="1"/>
        <rFont val="Open Sans Regular"/>
      </rPr>
      <t>Select one of the following:</t>
    </r>
  </si>
  <si>
    <t>Does the project protect or restore hydrologic connection?</t>
  </si>
  <si>
    <t>Does the project protect or restore water quality?</t>
  </si>
  <si>
    <t>Does the project protect or restore aquatic habitat?</t>
  </si>
  <si>
    <t>F(1)</t>
  </si>
  <si>
    <t>Does the project protect sediment transport and reduce sedimentation?</t>
  </si>
  <si>
    <t>F(2)</t>
  </si>
  <si>
    <t>In addition to protecting all existing wetland and surface water functions, can the project demonstrate it has restored at least one previously degraded wetlands and/or surface water function?</t>
  </si>
  <si>
    <t>NW3.3 Maintain Floodplain Functions</t>
  </si>
  <si>
    <r>
      <t>Intent</t>
    </r>
    <r>
      <rPr>
        <sz val="8"/>
        <color theme="1"/>
        <rFont val="Open Sans Regular"/>
      </rPr>
      <t>: Preserve floodplain functions by limiting development and impacts of development in the floodplain.</t>
    </r>
  </si>
  <si>
    <r>
      <t xml:space="preserve">Metric: </t>
    </r>
    <r>
      <rPr>
        <sz val="8"/>
        <color theme="1"/>
        <rFont val="Open Sans Regular"/>
      </rPr>
      <t>Efforts to avoid floodplains or maintain natural-acting floodplain functions.</t>
    </r>
  </si>
  <si>
    <r>
      <rPr>
        <b/>
        <sz val="8"/>
        <color theme="1"/>
        <rFont val="Open Sans Regular"/>
      </rPr>
      <t xml:space="preserve">Applicability: </t>
    </r>
    <r>
      <rPr>
        <sz val="8"/>
        <color theme="1"/>
        <rFont val="Open Sans Regular"/>
      </rPr>
      <t>Projects that are not within the floodplain and do not impact floodplain functions, may apply to have this credit deemed not applicable with supporting documentation. Some projects that are not directly within the floodplain may still have an impact on flooding and floodplain functions through their handling of stormwater runoff. These projects may also pursue achievement in this credit if they can demonstrate a direct connection to the floodplain. There are strong links between this credit and NW2.2 Manage Stormwater, and some project components and strategies may apply to both credits.</t>
    </r>
  </si>
  <si>
    <t>Has the project team identified the 100-year or design frequency floodplain in relation to the project location?</t>
  </si>
  <si>
    <r>
      <t xml:space="preserve">To what extent does the project preserve vegetated zones within the floodplain? </t>
    </r>
    <r>
      <rPr>
        <u/>
        <sz val="8"/>
        <color theme="1"/>
        <rFont val="Open Sans Regular"/>
      </rPr>
      <t xml:space="preserve">Select one of the following: </t>
    </r>
  </si>
  <si>
    <t>Does the project mitigate impacts to floodplain functions?</t>
  </si>
  <si>
    <t>Was the project intentionally sited to avoid floodplains?</t>
  </si>
  <si>
    <t>Does the project remove structures from the floodplain or return previously developed areas to a vegetated state?</t>
  </si>
  <si>
    <t>NW3.4 Control Invasive Species</t>
  </si>
  <si>
    <r>
      <t xml:space="preserve">Intent: </t>
    </r>
    <r>
      <rPr>
        <sz val="8"/>
        <color theme="1"/>
        <rFont val="Open Sans Regular"/>
      </rPr>
      <t>Use appropriate noninvasive species, and control or eliminate existing invasive species.</t>
    </r>
  </si>
  <si>
    <r>
      <t xml:space="preserve">Metric: </t>
    </r>
    <r>
      <rPr>
        <sz val="8"/>
        <color theme="1"/>
        <rFont val="Open Sans Regular"/>
      </rPr>
      <t>Degree to which invasive species have been reduced or eliminated.</t>
    </r>
  </si>
  <si>
    <r>
      <rPr>
        <b/>
        <sz val="8"/>
        <color theme="1"/>
        <rFont val="Open Sans Regular"/>
      </rPr>
      <t>Applicability</t>
    </r>
    <r>
      <rPr>
        <sz val="8"/>
        <color theme="1"/>
        <rFont val="Open Sans Regular"/>
      </rPr>
      <t>: This credit is applicable to all projects with sites that contain invasive species. Project teams that conduct site investigations and do not identify existing invasive species may apply to have this credit deemed not applicable with supporting documentation.</t>
    </r>
  </si>
  <si>
    <t>Does the project avoid introducing invasive species to the site?</t>
  </si>
  <si>
    <t>Has the project team conducted a site assessment to determine if invasive species are present?</t>
  </si>
  <si>
    <t>Does the project implement controls for existing infestations of invasive species before, during and post-construction?</t>
  </si>
  <si>
    <t>Does the project guard against future infestations by supporting the establishment of native and/or noninvasive species?</t>
  </si>
  <si>
    <t>Does the project provide long-term controls to prevent the reintroduction of invasive species?</t>
  </si>
  <si>
    <t>Does the project include the ongoing control, suppression, or containment of major infestations of invasive species after construction?</t>
  </si>
  <si>
    <t>NW3.5 Protect Soil Health</t>
  </si>
  <si>
    <r>
      <t xml:space="preserve">Intent: </t>
    </r>
    <r>
      <rPr>
        <sz val="8"/>
        <color theme="1"/>
        <rFont val="Open Sans Regular"/>
      </rPr>
      <t>Preserve the composition, structure and function of site soils.</t>
    </r>
  </si>
  <si>
    <r>
      <t xml:space="preserve">Metric: </t>
    </r>
    <r>
      <rPr>
        <sz val="8"/>
        <color theme="1"/>
        <rFont val="Open Sans Regular"/>
      </rPr>
      <t>Degree to which the disruption of soil health has been minimized and restored.</t>
    </r>
  </si>
  <si>
    <r>
      <rPr>
        <b/>
        <sz val="8"/>
        <color theme="1"/>
        <rFont val="Open Sans Regular"/>
      </rPr>
      <t>Applicability</t>
    </r>
    <r>
      <rPr>
        <sz val="8"/>
        <color theme="1"/>
        <rFont val="Open Sans Regular"/>
      </rPr>
      <t>: This credit is applicable to all projects that impact soils during construction. Projects that do not impact soil (e.g. the internal refurbishment of an existing facility) may apply to have this credit deemed not applicable with supporting documentation.</t>
    </r>
  </si>
  <si>
    <t>Has the project team limited the area that is disturbed by development activities?</t>
  </si>
  <si>
    <t>Have vegetated areas disturbed by development activities been restored for appropriate soil type, structure, and function to support healthy plant and tree growth?</t>
  </si>
  <si>
    <r>
      <t xml:space="preserve">Has the project team implemented a soil protection plan or policies? </t>
    </r>
    <r>
      <rPr>
        <u/>
        <sz val="8"/>
        <color theme="1"/>
        <rFont val="Open Sans Regular"/>
      </rPr>
      <t>Select one of the following:</t>
    </r>
  </si>
  <si>
    <t>Has the project restored appropriate soil type, structure, and function to vegetated areas disturbed by previous development?</t>
  </si>
  <si>
    <t xml:space="preserve">          Climate And Resilience</t>
  </si>
  <si>
    <t>1. Emissions</t>
  </si>
  <si>
    <t>CR1.1 Reduce Net Embodied Carbon</t>
  </si>
  <si>
    <r>
      <t xml:space="preserve">Intent: </t>
    </r>
    <r>
      <rPr>
        <sz val="8"/>
        <color theme="1"/>
        <rFont val="Open Sans Regular"/>
      </rPr>
      <t>Reduce the impacts of material extraction, refinement/manufacture, and transport over the project life.</t>
    </r>
  </si>
  <si>
    <r>
      <t xml:space="preserve">Metric: </t>
    </r>
    <r>
      <rPr>
        <sz val="8"/>
        <color theme="1"/>
        <rFont val="Open Sans Regular"/>
      </rPr>
      <t>Percentage of reduction in net embodied carbon of materials.</t>
    </r>
  </si>
  <si>
    <t>Has the project team determined materials that are the primary contributors to embodied carbon for the project during construction and operation?</t>
  </si>
  <si>
    <t>Has the project team calculated the primary contributors to overall embodied carbon?</t>
  </si>
  <si>
    <r>
      <t xml:space="preserve">To what extent does the project reduce the net embodied carbon of materials used in construction and operation? </t>
    </r>
    <r>
      <rPr>
        <u/>
        <sz val="8"/>
        <color theme="1"/>
        <rFont val="Open Sans Regular"/>
      </rPr>
      <t>Select one of the following:</t>
    </r>
  </si>
  <si>
    <t>CR1.2 Reduce Greenhouse Gas Emissions</t>
  </si>
  <si>
    <r>
      <t>Intent:</t>
    </r>
    <r>
      <rPr>
        <sz val="8"/>
        <color theme="1"/>
        <rFont val="Open Sans Regular"/>
      </rPr>
      <t xml:space="preserve"> Reduce greenhouse gas emissions during the operation of the project, reducing project contribution to climate change.</t>
    </r>
  </si>
  <si>
    <r>
      <t>Metric:</t>
    </r>
    <r>
      <rPr>
        <sz val="8"/>
        <color theme="1"/>
        <rFont val="Open Sans Regular"/>
      </rPr>
      <t xml:space="preserve"> Percentage of reduction in operational greenhouse gas emissions.</t>
    </r>
  </si>
  <si>
    <r>
      <rPr>
        <b/>
        <sz val="8"/>
        <color theme="1"/>
        <rFont val="Open Sans Regular"/>
      </rPr>
      <t>Applicability:</t>
    </r>
    <r>
      <rPr>
        <sz val="8"/>
        <color theme="1"/>
        <rFont val="Open Sans Regular"/>
      </rPr>
      <t xml:space="preserve"> This credit is applicable to all projects that consume energy, fuel, or otherwise produce greenhouse gas emissions during their operation. Projects that do not include greenhouse gas emissions during operations may apply to have this credit deemed not applicable with supporting documentation. However, projects that do not produce greenhouse gas emissions because of intentional planning decisions may apply for the Conserving level with supporting documentation.</t>
    </r>
  </si>
  <si>
    <r>
      <t xml:space="preserve">To what extent does the project reduce greenhouse gas emissions during its operational life? </t>
    </r>
    <r>
      <rPr>
        <u/>
        <sz val="8"/>
        <color theme="1"/>
        <rFont val="Open Sans Regular"/>
      </rPr>
      <t>Select one of the following:</t>
    </r>
  </si>
  <si>
    <t>Has the project team calculated and reported the annual greenhouse gas emissions of the project?</t>
  </si>
  <si>
    <t>CR1.3 Reduce Air Pollutant Emissions</t>
  </si>
  <si>
    <r>
      <t xml:space="preserve">Intent: </t>
    </r>
    <r>
      <rPr>
        <sz val="8"/>
        <color theme="1"/>
        <rFont val="Open Sans Regular"/>
      </rPr>
      <t>Reduce emissions of air pollutants: particulate matter (including dust), ground-level ozone, carbon monoxide, sulfur oxides, nitrogen oxides, lead, and volatile organic compounds.</t>
    </r>
  </si>
  <si>
    <r>
      <t xml:space="preserve">Metric: </t>
    </r>
    <r>
      <rPr>
        <sz val="8"/>
        <color theme="1"/>
        <rFont val="Open Sans Regular"/>
      </rPr>
      <t>Reduction of air pollutants compared to baseline.</t>
    </r>
  </si>
  <si>
    <r>
      <rPr>
        <b/>
        <sz val="8"/>
        <color theme="1"/>
        <rFont val="Open Sans Regular"/>
      </rPr>
      <t>Applicability:</t>
    </r>
    <r>
      <rPr>
        <sz val="8"/>
        <color theme="1"/>
        <rFont val="Open Sans Regular"/>
      </rPr>
      <t xml:space="preserve"> This credit is applicable to all projects that directly produce any of the criteria pollutants. Projects that do not include air pollutant emissions may apply to have this credit deemed not applicable with supporting documentation. However, projects that do not produce air pollutant emissions because of intentional planning decisions to choose non-polluting alternatives may apply for the Conserving level with supporting documentation.</t>
    </r>
  </si>
  <si>
    <t>Does the project meet all relevant minimum air quality standards and regulations?</t>
  </si>
  <si>
    <r>
      <t>To what extent does the project reduce air pollutant emissions during operations?</t>
    </r>
    <r>
      <rPr>
        <u/>
        <sz val="8"/>
        <color theme="1"/>
        <rFont val="Open Sans Regular"/>
      </rPr>
      <t xml:space="preserve"> Select one of the following:</t>
    </r>
  </si>
  <si>
    <t>Does the project include the ongoing monitoring and management of direct air pollutant emissions?</t>
  </si>
  <si>
    <t>Has the project team assessed the materiality of volatile organic compounds to the health of construction workers and the project operators?</t>
  </si>
  <si>
    <t>Does the project remove existing air pollutant sources?</t>
  </si>
  <si>
    <t>2. RESILIENCE</t>
  </si>
  <si>
    <t>CR2.1 Avoid Unsuitable Development</t>
  </si>
  <si>
    <r>
      <t>Intent:</t>
    </r>
    <r>
      <rPr>
        <sz val="8"/>
        <color theme="1"/>
        <rFont val="Open Sans Regular"/>
      </rPr>
      <t xml:space="preserve"> Minimize or avoid development on sites prone to hazards.</t>
    </r>
  </si>
  <si>
    <r>
      <t xml:space="preserve">Metric: </t>
    </r>
    <r>
      <rPr>
        <sz val="8"/>
        <color theme="1"/>
        <rFont val="Open Sans Regular"/>
      </rPr>
      <t>The degree to which the project is designed and/or sited to avoid or mitigate site-related risks.</t>
    </r>
  </si>
  <si>
    <r>
      <rPr>
        <b/>
        <sz val="8"/>
        <color theme="1"/>
        <rFont val="Open Sans Regular"/>
      </rPr>
      <t>Applicability:</t>
    </r>
    <r>
      <rPr>
        <sz val="8"/>
        <color theme="1"/>
        <rFont val="Open Sans Regular"/>
      </rPr>
      <t xml:space="preserve"> Projects that are not located within regions at risk of site hazards, and therefore cannot demonstrate they actively avoided site hazards, may apply to have this credit deemed not applicable with supporting documentation.</t>
    </r>
  </si>
  <si>
    <t>Has the project team identified potential siting hazards, the vulnerability of the project to the hazard, and the potential for the project to exacerbate the hazard?</t>
  </si>
  <si>
    <t>Can the project team demonstrate that siting and project alternatives were seriously considered in order to minimize exposure to risk?</t>
  </si>
  <si>
    <t>Has the project team implemented strategies to mitigate the impact of site hazards?</t>
  </si>
  <si>
    <t>Can the project team demonstrate that the chosen project and site resulted in the lowest exposure to site hazards while still meeting project requirements?</t>
  </si>
  <si>
    <t>Was the site chosen to intentionally avoid known site hazards?</t>
  </si>
  <si>
    <t>Does the project remove or modify structures subject to frequent damage?</t>
  </si>
  <si>
    <t>CR2.2 Assess Climate Change Vulnerability</t>
  </si>
  <si>
    <r>
      <t>Intent</t>
    </r>
    <r>
      <rPr>
        <sz val="8"/>
        <color theme="1"/>
        <rFont val="Open Sans Regular"/>
      </rPr>
      <t>: Develop a comprehensive climate change vulnerability assessment.</t>
    </r>
  </si>
  <si>
    <r>
      <t xml:space="preserve">Metric: </t>
    </r>
    <r>
      <rPr>
        <sz val="8"/>
        <color theme="1"/>
        <rFont val="Open Sans Regular"/>
      </rPr>
      <t>Scope and comprehensiveness of climate change vulnerability assessment.</t>
    </r>
  </si>
  <si>
    <r>
      <rPr>
        <b/>
        <sz val="8"/>
        <color theme="1"/>
        <rFont val="Open Sans Regular"/>
      </rPr>
      <t>Applicability:</t>
    </r>
    <r>
      <rPr>
        <sz val="8"/>
        <color theme="1"/>
        <rFont val="Open Sans Regular"/>
      </rPr>
      <t xml:space="preserve"> This credit is applicable to all projects potentially impacted by climate change, which is the vast majority of infrastructure.</t>
    </r>
  </si>
  <si>
    <t>Has the project team determined climate change threats to the project and its surroundings?</t>
  </si>
  <si>
    <t>Has the project team determined the vulnerability of the project to climate change threats?</t>
  </si>
  <si>
    <t>Has the project team determined the vulnerability of the infrastructure system to climate change threats?</t>
  </si>
  <si>
    <t>Has the project team determined the vulnerability of the community to climate change threats?</t>
  </si>
  <si>
    <t>Has the project team or owner shared their climate threat findings?</t>
  </si>
  <si>
    <t>CR2.3 Evaluate Risk and Resilience</t>
  </si>
  <si>
    <r>
      <t>Intent</t>
    </r>
    <r>
      <rPr>
        <sz val="8"/>
        <color theme="1"/>
        <rFont val="Open Sans Regular"/>
      </rPr>
      <t>: Conduct a comprehensive, multihazard risk and resilience evaluation.</t>
    </r>
  </si>
  <si>
    <r>
      <t xml:space="preserve">Metric: </t>
    </r>
    <r>
      <rPr>
        <sz val="8"/>
        <color theme="1"/>
        <rFont val="Open Sans Regular"/>
      </rPr>
      <t>Scope and comprehensiveness of the multihazard risk and resilience evaluation.</t>
    </r>
  </si>
  <si>
    <r>
      <rPr>
        <b/>
        <sz val="8"/>
        <color theme="1"/>
        <rFont val="Open Sans Regular"/>
      </rPr>
      <t>Applicability:</t>
    </r>
    <r>
      <rPr>
        <sz val="8"/>
        <color theme="1"/>
        <rFont val="Open Sans Regular"/>
      </rPr>
      <t xml:space="preserve"> It is likely that all projects would benefit from a thorough investigation of potential risks. It would, therefore, be difficult to demonstrate that the credit is not relevant or applicable to a project seeking an Envision award. Risks are not always major catastrophic events; small and large projects alike may consider how crime/vandalism or personal injury are also potential risks with associated impacts.</t>
    </r>
  </si>
  <si>
    <r>
      <t xml:space="preserve">To what extent does the project team’s risk assessment include the project, infrastructure system, and community? </t>
    </r>
    <r>
      <rPr>
        <u/>
        <sz val="8"/>
        <color theme="1"/>
        <rFont val="Open Sans Regular"/>
      </rPr>
      <t xml:space="preserve">Select one of the following: </t>
    </r>
  </si>
  <si>
    <t>Has the project team identified the critical functions and dependencies of the infrastructure asset and its primary components?</t>
  </si>
  <si>
    <t>Has the project team identified the threats or hazards to the project and its surroundings?</t>
  </si>
  <si>
    <t>Has the project team identified the vulnerabilities of the critical functions and dependencies of the infrastructure asset?</t>
  </si>
  <si>
    <t>Has the project team evaluated risks by determining the probability of a threat or hazard occurring and the associated impacts?</t>
  </si>
  <si>
    <t>Did the risk evaluation conducted by the project include the participation of the owner and a diverse and integrated team of key stakeholders?</t>
  </si>
  <si>
    <t>CR2.4 Establish Resilience Goals and Strategies</t>
  </si>
  <si>
    <r>
      <t>Intent</t>
    </r>
    <r>
      <rPr>
        <sz val="8"/>
        <color theme="1"/>
        <rFont val="Open Sans Regular"/>
      </rPr>
      <t>: To support increased project and community resilience through the establishment of clear objectives and goals.</t>
    </r>
  </si>
  <si>
    <r>
      <t xml:space="preserve">Metric: </t>
    </r>
    <r>
      <rPr>
        <sz val="8"/>
        <color theme="1"/>
        <rFont val="Open Sans Regular"/>
      </rPr>
      <t>The degree to which resilience goals expand from initial commitments to quantifiable project objectives, long-term operating plans, and community-wide development plans.</t>
    </r>
  </si>
  <si>
    <r>
      <rPr>
        <b/>
        <sz val="8"/>
        <color theme="1"/>
        <rFont val="Open Sans Regular"/>
      </rPr>
      <t>Applicability:</t>
    </r>
    <r>
      <rPr>
        <sz val="8"/>
        <color theme="1"/>
        <rFont val="Open Sans Regular"/>
      </rPr>
      <t xml:space="preserve"> All projects that are exposed to risks would benefit from establishing resilience goals and strategies. It would therefore be difficult to demonstrate that the credit is not relevant or applicable to a project seeking an Envision award.</t>
    </r>
  </si>
  <si>
    <t>Has the project team identified the project performance goals and risk appetite of the owner?</t>
  </si>
  <si>
    <t>Has the project team developed risk management strategies based on a comprehensive risk evaluation?</t>
  </si>
  <si>
    <t xml:space="preserve">C </t>
  </si>
  <si>
    <t>Have key stakeholders been engaged in developing resilience goals?</t>
  </si>
  <si>
    <t>Is the project part of, or does it support, larger community resilience or climate change adaptation goals?</t>
  </si>
  <si>
    <t>CR2.5 Maximize Resilience</t>
  </si>
  <si>
    <r>
      <t>Intent</t>
    </r>
    <r>
      <rPr>
        <sz val="8"/>
        <color theme="1"/>
        <rFont val="Open Sans Regular"/>
      </rPr>
      <t>: Increase resilience, life-cycle system performance, and the ability to withstand hazards by maximizing durability.</t>
    </r>
  </si>
  <si>
    <r>
      <t xml:space="preserve">Metric: </t>
    </r>
    <r>
      <rPr>
        <sz val="8"/>
        <color theme="1"/>
        <rFont val="Open Sans Regular"/>
      </rPr>
      <t>The degree to which the project incorporates elements that increase durability, the ability to withstand hazards, and extend useful life.</t>
    </r>
  </si>
  <si>
    <r>
      <rPr>
        <b/>
        <sz val="8"/>
        <color theme="1"/>
        <rFont val="Open Sans Regular"/>
      </rPr>
      <t>Applicability:</t>
    </r>
    <r>
      <rPr>
        <sz val="8"/>
        <color theme="1"/>
        <rFont val="Open Sans Regular"/>
      </rPr>
      <t xml:space="preserve"> All projects that are exposed to risks would benefit from increased resilience. It would therefore be difficult to demonstrate that the credit is not relevant or applicable to a project seeking an Envision award.</t>
    </r>
  </si>
  <si>
    <t>Has the project team developed resilience goals and strategies based on a comprehensive risk evaluation?</t>
  </si>
  <si>
    <t>Has the project team implemented resilience strategies sufficient to address major project risks and improve project resilience?</t>
  </si>
  <si>
    <t>Has the project team periodically monitored the implementation of project resilience strategies and reviewed their continued effectiveness throughout project delivery?</t>
  </si>
  <si>
    <t>Will resilience goals and strategies be incorporated into the ongoing operations and maintenance of the project?</t>
  </si>
  <si>
    <t>Does the project include methods for measuring or quantifying resilience performance targets?</t>
  </si>
  <si>
    <t>CR2.6 Improve Infrastructure Integration</t>
  </si>
  <si>
    <r>
      <t>Intent</t>
    </r>
    <r>
      <rPr>
        <sz val="8"/>
        <color theme="1"/>
        <rFont val="Open Sans Regular"/>
      </rPr>
      <t>: Enhance the operational relationships and strengthen the functional integration of the project into connected, efficient, and diverse infrastructure systems.</t>
    </r>
  </si>
  <si>
    <r>
      <t xml:space="preserve">Metric: </t>
    </r>
    <r>
      <rPr>
        <sz val="8"/>
        <color theme="1"/>
        <rFont val="Open Sans Regular"/>
      </rPr>
      <t>The degree to which the project is integrated into other connected systems, where beneficial and appropriate, in order to increase resilience and systems performance.</t>
    </r>
  </si>
  <si>
    <r>
      <rPr>
        <b/>
        <sz val="8"/>
        <color theme="1"/>
        <rFont val="Open Sans Regular"/>
      </rPr>
      <t>Applicability:</t>
    </r>
    <r>
      <rPr>
        <sz val="8"/>
        <color theme="1"/>
        <rFont val="Open Sans Regular"/>
      </rPr>
      <t xml:space="preserve"> It is likely that all infrastructure would, and should, benefit from the application of an integrated systems approach. It would therefore be difficult to demonstrate that the credit is not relevant or applicable to a project seeking an Envision award.</t>
    </r>
  </si>
  <si>
    <t>Does the project increase internal systems integration?</t>
  </si>
  <si>
    <t>Will the infrastructure integration reduce the risk of systemic or cascading failures?</t>
  </si>
  <si>
    <t>Does the project increase external systems integration?</t>
  </si>
  <si>
    <t>Does the project integrate infrastructure networks?</t>
  </si>
  <si>
    <t>Does the project integrate data or monitoring systems in order to improve performance?</t>
  </si>
  <si>
    <t>QL1.6 Minimize Construction Impacts</t>
  </si>
  <si>
    <t>LD1.4 Pursue Byproduct Synergies</t>
  </si>
  <si>
    <t>one (1) type of construction impact: noise, safety/wayfinding, access/mobility, or lighting.</t>
  </si>
  <si>
    <t>The project successfully includes a byproduct synergy or reuse.
Execution is a short-term or one-time byproduct synergy/reuse (e.g., during construction).</t>
  </si>
  <si>
    <t>At least 5% of all project materials, supplies, and equipment meet the sustainable procurement policy/program requirements.</t>
  </si>
  <si>
    <t>Mitigation may occur off site.</t>
  </si>
  <si>
    <t>The project team demonstrates at least a 5% reduction in total embodied carbon of materials over the life of the project compared to the baseline.</t>
  </si>
  <si>
    <t>two (2) types of construction impact: noise, safety/wayfinding, access/mobility, or lighting.</t>
  </si>
  <si>
    <t>The project successfully includes a byproduct synergy or reuse.
Execution is a long-term regularly recurring byproduct synergy/reuse throughout project operations.</t>
  </si>
  <si>
    <t>At least 15% of all project materials, supplies, and equipment meet the sustainable procurement policy/program requirements.</t>
  </si>
  <si>
    <t>Mitigation is on site or an adjacent contiguous parcel of equal or higher ecological value. Temporary impacts from construction activities do not decrease the capacity of preserved land.</t>
  </si>
  <si>
    <t>The project team demonstrates at least a 15% reduction in total embodied carbon of materials over the life of the project compared to the baseline.</t>
  </si>
  <si>
    <t>three (3) types of construction impact: noise, safety/wayfinding, access/mobility, or lighting.</t>
  </si>
  <si>
    <t>At least 25% of all project materials, supplies, and equipment meet the sustainable procurement policy/program requirements.</t>
  </si>
  <si>
    <t>The project team demonstrates at least a 30% reduction in total embodied carbon of materials over the life of the project compared to the baseline.</t>
  </si>
  <si>
    <t>four (4) type of construction impact: noise, safety/wayfinding, access/mobility, and lighting.</t>
  </si>
  <si>
    <t>At least 50% of all project materials, supplies, and equipment meet the sustainable procurement policy/program requirements.</t>
  </si>
  <si>
    <t>The project team demonstrates at least a 50% reduction in total embodied carbon of materials over the life of the project compared to the baseline.</t>
  </si>
  <si>
    <t>QL3.4 Enhance Public Space and Amenities</t>
  </si>
  <si>
    <t>Beyond general skill development, the project team identifies specific skill or capability gaps in the local workforce.
Training programs target these gaps to improve local capacity. Skills are transferable beyond the end of the project.</t>
  </si>
  <si>
    <t>The project provides vegetated or natural buffer zones around at least 90% of wetlands and surface waters on site. The remaining areas (&lt;10%) are protected with engineered controls. Together they are sufficient to slow surface runoff, and trap sediments, pesticides, and other pollutants. Minimum buffer width is 50 ft/15 m unless otherwise justified under criterion B.</t>
  </si>
  <si>
    <t>The project team works with, or is informed by, community and local/state workforce development agencies to assess local employment and educational needs.
Training programs target these gaps to improve local capacity. Skills are transferable beyond the end of the project.
Skills developed are likely to provide the local workforce, agencies, and/or companies with a competitive advantage in the future.</t>
  </si>
  <si>
    <t>The project provides a buffer of managed vegetated zones around all wetlands and surface waters. Managed zones may include grass. The buffer is of sufficient width to slow surface runoff, and trap sediments, pesticides, and other pollutants. Minimum width is 100 ft/30 m unless otherwise justified under criterion B.</t>
  </si>
  <si>
    <t>The project involves significant enhancements to existing public space or amenities (e.g., not minor resurfacing or component replacements).</t>
  </si>
  <si>
    <t>At least 5% (by weight, volume, or cost) of recycled materials including materials with recycled content and/or reused existing structures or materials.</t>
  </si>
  <si>
    <t>The project provides a mixed buffer of managed vegetation and natural zones around all wetlands and surface waters. Natural areas are not managed and consist of natural habitat. The buffer is of sufficient width to slow surface runoff, and trap sediments, pesticides, and other pollutants. Minimum width is 150 ft/45 m unless otherwise justified under criterion B.</t>
  </si>
  <si>
    <t>The project team demonstrates at least a 10% reduction in total CO2e over the operational life of the project compared to the baseline.</t>
  </si>
  <si>
    <t>The project creates a new public resource or amenity to the community that did not previously exist. The scope of the new public space/amenity is commensurate with the scope and scale of the project.</t>
  </si>
  <si>
    <t>At least 15% (by weight, volume, or cost) of recycled materials including materials with recycled content and/or reused existing structures or materials.</t>
  </si>
  <si>
    <t>The project provides a buffer of natural zones around all wetlands and surface waters. The buffer is of sufficient width to slow surface runoff, and trap sediments, pesticides, and other pollutants. Minimum width is 200 ft/60 m unless otherwise justified under criterion B.</t>
  </si>
  <si>
    <t>The project team demonstrates at least a 25% reduction in total CO2e over the operational life of the project compared to the baseline.</t>
  </si>
  <si>
    <t>The project restores lost, degraded/unusable, or at-risk public space or amenities. The public space/amenity is an asset of significance to the local community commensurate with the scope and scale of the project.</t>
  </si>
  <si>
    <t>At least 25% (by weight, volume, or cost) of recycled materials including materials with recycled content and/or reused existing structures or materials.</t>
  </si>
  <si>
    <t>The project team demonstrates at least a 50% reduction in total CO2e over the operational life of the project compared to the baseline.</t>
  </si>
  <si>
    <t>At least 50% (by weight, volume, or cost) of recycled materials including materials with recycled content and/or reused existing structures or materials.</t>
  </si>
  <si>
    <t>The project team demonstrates at least a 100% reduction in total CO2e over the operational life of the project compared to the baseline.</t>
  </si>
  <si>
    <t>The completed project is carbon negative (i.e., sequesters/removes more CO2e than it produces over the operational life).</t>
  </si>
  <si>
    <t>Less than 10% of the project site is developed or disturbed prime farmland</t>
  </si>
  <si>
    <t>Noise reduction strategies and controls are sufficient to not increase noise within the surrounding community beyond existing conditions.</t>
  </si>
  <si>
    <t>Less than 5% of the project site is developed or disturbed prime farmland.</t>
  </si>
  <si>
    <t>Noise reduction strategies and controls are sufficient to reduce noise within the surrounding community beyond existing conditions.</t>
  </si>
  <si>
    <t>The project is planned or designed to divert at least 25% of operational waste. Diversion may be a combination of waste reduction measures and/or sourcing waste to other facilities for recycling or reuse.</t>
  </si>
  <si>
    <t>The project avoids developing or disturbing any prime farmland located on site.</t>
  </si>
  <si>
    <t>The project is planned or designed to divert at least 50% of operational waste. Diversion may be a combination of waste reduction measures and/or sourcing waste to other facilities for recycling or reuse.</t>
  </si>
  <si>
    <t>The project implements strategies to reduce air pollutant emissions during operations.</t>
  </si>
  <si>
    <t>The project is planned or designed to divert at least 75% of operational waste. Diversion may be a combination of waste reduction measures and/or sourcing waste to other facilities for recycling or reuse.</t>
  </si>
  <si>
    <t>The project reduces emissions through the use of best available control systems or best management practices.</t>
  </si>
  <si>
    <t>The project is planned or designed to divert at least 95% of operational waste. Diversion may be a combination of waste reduction measures and/or sourcing waste to other facilities for recycling or reuse.</t>
  </si>
  <si>
    <t>Air pollution controls are within the 95th percentile, or represent the lowest levels possible compared to projects of similar type.</t>
  </si>
  <si>
    <t>At least 25% of the developed area of the project is located on previously developed land.</t>
  </si>
  <si>
    <t>The project eliminates air pollutant sources in the design, chooses a non-polluting alternative, or achieves at least a 98% net reduction in air pollution emissions compared to the baseline.</t>
  </si>
  <si>
    <t>At least 50% of the developed area of the project is located on previously developed land.</t>
  </si>
  <si>
    <t>At least 75% of the developed area of the project is located on previously developed land.</t>
  </si>
  <si>
    <t>During construction at least 25% of waste materials are recycled, reused, and/or salvaged. Diversion may be a combination of waste-reduction measures and sourcing waste to other facilities for recycling or reuse.</t>
  </si>
  <si>
    <t>100% percent of the developed area of the project is located on previously developed land.</t>
  </si>
  <si>
    <t>During construction at least 50% of waste materials are recycled, reused, and/or salvaged. Diversion may be a combination of waste-reduction measures and sourcing waste to other facilities for recycling or reuse.</t>
  </si>
  <si>
    <t>The project team draws the assessment boundary for subsequent criteria (B, C, D, and E) around the project and its site.</t>
  </si>
  <si>
    <t>During construction at least 75% of waste materials are recycled, reused, and/or salvaged. Diversion may be a combination of waste-reduction measures and sourcing waste to other facilities for recycling or reuse.</t>
  </si>
  <si>
    <t>The project team draws the assessment boundary for subsequent criteria (B, C, D, and E) around the interdependencies of the project and its associated/connected infrastructure system/network.</t>
  </si>
  <si>
    <t>During construction at least 95% of waste materials are recycled, reused, and/or salvaged. Diversion may be a combination of waste-reduction measures and sourcing waste to other facilities for recycling or reuse.</t>
  </si>
  <si>
    <t>The project team draws the assessment boundary for subsequent criteria (B, C, D, and E) around the interdependencies of the project, its associated/connected infrastructure system/network, and the broader community.</t>
  </si>
  <si>
    <t>Minimum required capping and remediation is performed to reduce human exposure to safe levels. Contaminants remain generally on site at levels that can be addressed by engineering and/or institutional controls.</t>
  </si>
  <si>
    <t>Passive remediation is performed to reduce human exposure and to gradually remove or break down contamination on the site.</t>
  </si>
  <si>
    <t>Active remediation, or a combination of active and passive remediation, is performed to reduce human exposure and to remove or break down contamination on the site.</t>
  </si>
  <si>
    <t>Excavated material moved off site and/or fill brought onto the site does not exceed 70% of total site soil handling.
OR
100% of fill and excavated materials are sourced or reused within 25 mi/40 km of the site.</t>
  </si>
  <si>
    <t>Active remediation, or a combination of active and passive remediation, is performed to restore the entirety of site soils and/or groundwater back to regional background or unrestricted use levels.</t>
  </si>
  <si>
    <t>Excavated material moved off site and/or fill brought onto the site does not exceed 50% of total site soil handling.
OR
100% of fill and excavated materials are sourced or reused within 10 mi/16 km of the site.</t>
  </si>
  <si>
    <t>Excavated material moved off site and/or fill brought onto the site does not exceed 20% of total site soil handling.
OR
100% of fill and excavated materials are sourced or reused within 5 mi/8 km of the site.</t>
  </si>
  <si>
    <t>The site is fully balanced. No earthwork is removed from the site and no earthwork is imported.</t>
  </si>
  <si>
    <t>Detain and treat 100% of the 85th percentile local 24-hour event. Ensure compliance with local requirements if stricter.</t>
  </si>
  <si>
    <t>Infiltrate, evapotranspirate, and/or reuse 100% of 85th percentile local 24-hour event.
OR
If infiltration, evapotranspiration, or reuse are not permitted or impracticable detain and treat 150% of 85th percentile 24-hour event.</t>
  </si>
  <si>
    <t>Infiltrate, evapotranspirate, and/or reuse 100% of 90th percentile local 24-hour event.
OR
If infiltration, evapotranspiration, or reuse are not permitted or impracticable detain and treat 150% of 90th percentile 24-hour event.</t>
  </si>
  <si>
    <t>Operational energy is reduced at least 10%.</t>
  </si>
  <si>
    <t>Infiltrate, evapotranspirate, or reuse 100% of 95th percentile local 24-hour event.
OR
If infiltration, evapotranspiration, or reuse are not permitted or impracticable detain and treat 150% of 95th percentile 24-hour event.</t>
  </si>
  <si>
    <t>Operational energy is reduced at least 30%.</t>
  </si>
  <si>
    <t>Infiltrate, evapotranspirate, or reuse more than 100% of 95th percentile local 24-hour event.
OR
If infiltration, evapotranspiration, or reuse are not permitted or impracticable detain and treat more than 150% of 95th percentile 24-hour event.</t>
  </si>
  <si>
    <t>Operational energy is reduced at least 50%.</t>
  </si>
  <si>
    <t>Operational energy is reduced at least 70%.</t>
  </si>
  <si>
    <t>Do not exceed rate or quantity of runoff for the 2-year 24-hour rainfall event relative to the existing condition (greenfield, greyfield, or brownfield).</t>
  </si>
  <si>
    <t>Do not exceed rate or quantity of runoff for the 2- and 5-year 24-hour rainfall event relative to the existing condition (greenfield, greyfield, or brownfield).</t>
  </si>
  <si>
    <t>Do not exceed rate or quantity of runoff for the 2-, 5-, and 10-year 24-hour rainfall event relative to the existing condition (greenfield, greyfield, or brownfield).</t>
  </si>
  <si>
    <t>The project implements, or has written requirements to implement, at least two (2) energy reduction strategies.</t>
  </si>
  <si>
    <t>Do not exceed rate or quantity of runoff for the 2-, 5-, 10-, 25-, and 50-year 24-hour rainfall event relative to the existing condition (greenfield, greyfield, or brownfield).</t>
  </si>
  <si>
    <t>The project implements, or has written requirements to implement, at least four (4) energy reduction strategies.</t>
  </si>
  <si>
    <t>Do not exceed rate or quantity of runoff for the 2-, 5-, 10-, 25-, 50-, and 100-year 24-hour rainfall event relative to the existing condition (greenfield, greyfield, or brownfield).</t>
  </si>
  <si>
    <t>The project implements, or has written requirements to implement, at least six (6) energy reduction strategies.</t>
  </si>
  <si>
    <t>Landscaping is designed to incorporate plant species that require fewer fertilizers and pesticides.</t>
  </si>
  <si>
    <t>The project meets 5% of energy needs (electricity and fuel) from renewable sources.</t>
  </si>
  <si>
    <t>Landscaping is designed with plant species that do not require pesticides or fertilizers.</t>
  </si>
  <si>
    <t>The project meets 15% of energy needs (electricity and fuel) from renewable sources.</t>
  </si>
  <si>
    <t>Landscaping is designed with plant species that do not require pesticides or fertilizers.
This includes eliminating the need for pesticides and/or fertilizers on sites with prior use of pesticides or fertilizers.</t>
  </si>
  <si>
    <t>The project meets 30% of energy needs (electricity and fuel) from renewable sources.</t>
  </si>
  <si>
    <t>The project meets 50% of energy needs (electricity and fuel) from renewable sources.</t>
  </si>
  <si>
    <t>The project generates a net positive amount of renewable energy.</t>
  </si>
  <si>
    <t>Mitigation measures ensure that existing habitat functions as defined in criteria C, D, and E are maintained (i.e., not degraded or lost). Mitigation must occur on or adjacent to the site and follow a hierarchy that prioritizes avoidance, minimization, restoration, and compensation.</t>
  </si>
  <si>
    <t>The project ensures that no existing habitats are disturbed or damaged.</t>
  </si>
  <si>
    <t>Enhance one or more ecosystem functions compared to existing conditions: Quantity (C); Quality (D); Connectivity (E)</t>
  </si>
  <si>
    <t>Enhance two or more ecosystem functions compared to existing conditions: Quantity (C); Quality (D); Connectivity (E)</t>
  </si>
  <si>
    <t>Enhance all three ecosystem functions compared to existing conditions: Quantity (C); Quality (D); Connectivity (E)</t>
  </si>
  <si>
    <t>The project conducts an initial commissioning of energy systems accounting for at least 50% of the total energy consumption/generation. Commissioning includes a detailed log of issues.</t>
  </si>
  <si>
    <t>The project conducts an initial commissioning of energy systems accounting for at least 75% of the total energy consumption/generation. Commissioning includes a detailed log of issues.</t>
  </si>
  <si>
    <t>The project conducts an initial commissioning of energy systems accounting for at least 90% of the total energy consumption/generation. Commissioning includes a detailed log of issues. The owner engages a third party or in-house commissioning agent not involved in the planning/design of the project.</t>
  </si>
  <si>
    <t>Efforts are made to avoid and minimize negative impacts to wetland and surface water functions and to compensate for remaining unavoidable losses. Mitigation measures must maintain net aquatic habitat quality and quantity and follow a hierarchy that prioritizes avoidance, minimization, restoration, and compensation</t>
  </si>
  <si>
    <t>The project conducts an initial commissioning of energy systems accounting for at least 90% of the total energy consumption/generation. Commissioning includes a detailed log of issues. The owner engages an independent third-party commissioning agent.</t>
  </si>
  <si>
    <t>The project ensures that no existing wetlands or surface water functions are disturbed or damaged as a result of the project.</t>
  </si>
  <si>
    <t>The project reduces potable water use by at least 25%.</t>
  </si>
  <si>
    <t>The project site maintains a net quantity of at least 75% of natural/vegetated area within the floodplain.</t>
  </si>
  <si>
    <t>The project reduces potable water use by at least 50%.</t>
  </si>
  <si>
    <t>The project site maintains a net quantity of at least 85% of natural/vegetated area within the floodplain.</t>
  </si>
  <si>
    <t>The project reduces potable water use by at least 75%.</t>
  </si>
  <si>
    <t>The project site maintains a net quantity of at least 95% of natural/vegetated area within the floodplain.</t>
  </si>
  <si>
    <t>The project reduces potable water use by at least 95%.</t>
  </si>
  <si>
    <t>The project site maintains a net quantity of 100% of natural/vegetated area within the floodplain.</t>
  </si>
  <si>
    <t>The project reduces potable water use by 100%.</t>
  </si>
  <si>
    <t>The project avoids developing any existing natural/vegetated zones within the floodplain.</t>
  </si>
  <si>
    <t>Overall water use (potable and nonpotable) is reduced by at least 20%.</t>
  </si>
  <si>
    <t>Overall water use (potable and nonpotable) is reduced by at least 30%.</t>
  </si>
  <si>
    <t>A soil protection plan, or policies, are prepared and implemented. The plan/policies specifically include any special landscape features.</t>
  </si>
  <si>
    <t>Overall water use (potable and nonpotable) is reduced by at least 40%.</t>
  </si>
  <si>
    <t>A soil protection plan, or policies, are prepared and implemented. The plan/policies specifically include any special landscape features. The plan is expanded to comply with best management practices from a local soil conservation agency, or is reviewed or prepared under the guidance of a certified soil scientist.</t>
  </si>
  <si>
    <t>Overall water use (potable and nonpotable) is reduced by at least 50%.</t>
  </si>
  <si>
    <t>At least one (1) potable water conservation strategy is implemented.</t>
  </si>
  <si>
    <t>At least three (3) potable water conservation strategies are implemented.</t>
  </si>
  <si>
    <t>At least five (5) potable water conservation strategies are implemented.</t>
  </si>
  <si>
    <t>No potable water consumption, except for human consumption and hygiene, by means of implementing as many strategies as necessary.</t>
  </si>
  <si>
    <t>The equipment is capable of monitoring all primary project functions, accounting for at least 50% of water use.</t>
  </si>
  <si>
    <t>The equipment is capable of monitoring all primary project functions, accounting for at least 75% of water use.</t>
  </si>
  <si>
    <t>The equipment is capable of monitoring all primary project functions, accounting for at least 95% of water use.</t>
  </si>
  <si>
    <t xml:space="preserve">Total </t>
  </si>
  <si>
    <t>—</t>
  </si>
  <si>
    <t>Equipment and/or software are incorporated to allow detailed monitoring of performance during operation. The equipment is capable of independently monitoring all primary project functions, accounting for at least 50% of energy use/consumption.</t>
  </si>
  <si>
    <t>Equipment and/or software are incorporated to allow detailed monitoring of performance during operation. The equipment is capable of independently monitoring all primary project functions, accounting for at least 75% of energy use/consumption.</t>
  </si>
  <si>
    <t>Equipment and/or software are incorporated to allow detailed monitoring of performance during operation. The equipment is capable of independently monitoring all primary project functions, accounting for at least 90% of energy use/consumption.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</si>
</sst>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2"/>
      <color theme="1"/>
      <name val="Calibri"/>
      <family val="2"/>
      <scheme val="minor"/>
    </font>
    <font>
      <sz val="12"/>
      <color theme="1"/>
      <name val="Calibri"/>
      <family val="2"/>
      <scheme val="minor"/>
    </font>
    <font>
      <sz val="11"/>
      <color theme="1"/>
      <name val="Calibri"/>
      <family val="2"/>
      <scheme val="minor"/>
    </font>
    <font>
      <sz val="8"/>
      <color theme="0"/>
      <name val="Arial Narrow"/>
      <family val="2"/>
    </font>
    <font>
      <sz val="9"/>
      <color theme="1"/>
      <name val="Arial Narrow"/>
      <family val="2"/>
    </font>
    <font>
      <b/>
      <sz val="11"/>
      <color theme="1"/>
      <name val="Arial Narrow"/>
      <family val="2"/>
    </font>
    <font>
      <sz val="11"/>
      <color theme="1"/>
      <name val="Arial Narrow"/>
      <family val="2"/>
    </font>
    <font>
      <sz val="9"/>
      <name val="Arial Narrow"/>
      <family val="2"/>
    </font>
    <font>
      <sz val="8"/>
      <name val="Calibri"/>
      <family val="2"/>
      <scheme val="minor"/>
    </font>
    <font>
      <b/>
      <sz val="12"/>
      <color theme="1"/>
      <name val="Arial Narrow"/>
      <family val="2"/>
    </font>
    <font>
      <b/>
      <sz val="14"/>
      <color theme="1"/>
      <name val="Arial Narrow"/>
      <family val="2"/>
    </font>
    <font>
      <sz val="10"/>
      <color theme="1"/>
      <name val="Arial Narrow"/>
      <family val="2"/>
    </font>
    <font>
      <b/>
      <sz val="10"/>
      <color theme="1"/>
      <name val="Arial Narrow"/>
      <family val="2"/>
    </font>
    <font>
      <sz val="10"/>
      <color theme="0"/>
      <name val="Open Sans Semibold"/>
      <family val="2"/>
    </font>
    <font>
      <b/>
      <sz val="9"/>
      <color theme="1"/>
      <name val="Arial Narrow"/>
      <family val="2"/>
    </font>
    <font>
      <sz val="8"/>
      <color theme="1"/>
      <name val="Open Sans Regular"/>
    </font>
    <font>
      <b/>
      <sz val="8"/>
      <color theme="1"/>
      <name val="Open Sans Regular"/>
    </font>
    <font>
      <sz val="8"/>
      <color theme="0"/>
      <name val="Open Sans Regular"/>
    </font>
    <font>
      <u/>
      <sz val="11"/>
      <color theme="10"/>
      <name val="Calibri"/>
      <family val="2"/>
    </font>
    <font>
      <b/>
      <sz val="8"/>
      <color theme="10"/>
      <name val="Open Sans Regular"/>
    </font>
    <font>
      <sz val="7"/>
      <color theme="1"/>
      <name val="Open Sans Regular"/>
    </font>
    <font>
      <u/>
      <sz val="12"/>
      <color theme="11"/>
      <name val="Calibri"/>
      <family val="2"/>
      <scheme val="minor"/>
    </font>
    <font>
      <sz val="10"/>
      <color theme="1"/>
      <name val="Courier"/>
      <family val="1"/>
    </font>
    <font>
      <b/>
      <sz val="12"/>
      <color rgb="FFFF671B"/>
      <name val="Open Sans Bold"/>
    </font>
    <font>
      <sz val="20"/>
      <color rgb="FFFF671B"/>
      <name val="Open Sans Bold"/>
    </font>
    <font>
      <sz val="20"/>
      <color rgb="FF786E63"/>
      <name val="Open Sans Bold"/>
    </font>
    <font>
      <b/>
      <sz val="12"/>
      <color rgb="FF786E63"/>
      <name val="Open Sans Bold"/>
    </font>
    <font>
      <sz val="8"/>
      <name val="Open Sans Regular"/>
    </font>
    <font>
      <b/>
      <sz val="14"/>
      <name val="Arial Narrow"/>
      <family val="2"/>
    </font>
    <font>
      <b/>
      <sz val="10"/>
      <name val="Arial Narrow"/>
      <family val="2"/>
    </font>
    <font>
      <b/>
      <sz val="8"/>
      <name val="Open Sans Regular"/>
    </font>
    <font>
      <sz val="10"/>
      <color theme="1"/>
      <name val="Arial"/>
      <family val="2"/>
    </font>
    <font>
      <b/>
      <sz val="10"/>
      <color theme="1"/>
      <name val="Arial"/>
      <family val="2"/>
    </font>
    <font>
      <b/>
      <sz val="12"/>
      <color theme="1"/>
      <name val="Calibri"/>
      <family val="2"/>
      <scheme val="minor"/>
    </font>
    <font>
      <b/>
      <sz val="12"/>
      <color rgb="FF83603F"/>
      <name val="Open Sans Bold"/>
    </font>
    <font>
      <sz val="20"/>
      <color rgb="FF83603F"/>
      <name val="Open Sans Bold"/>
    </font>
    <font>
      <sz val="20"/>
      <color rgb="FF4B9C2D"/>
      <name val="Open Sans Bold"/>
    </font>
    <font>
      <b/>
      <sz val="12"/>
      <color rgb="FF4B9C2D"/>
      <name val="Open Sans Bold"/>
    </font>
    <font>
      <sz val="20"/>
      <color rgb="FF0093C9"/>
      <name val="Open Sans Bold"/>
    </font>
    <font>
      <b/>
      <sz val="12"/>
      <color rgb="FF0093C9"/>
      <name val="Open Sans Bold"/>
    </font>
    <font>
      <b/>
      <sz val="7"/>
      <color theme="1"/>
      <name val="Open Sans Regular"/>
    </font>
    <font>
      <b/>
      <sz val="7"/>
      <color rgb="FF0093C9"/>
      <name val="Open Sans Regular"/>
    </font>
    <font>
      <b/>
      <sz val="7"/>
      <color rgb="FF4B9C2D"/>
      <name val="Open Sans Regular"/>
    </font>
    <font>
      <b/>
      <sz val="7"/>
      <color rgb="FFFF671B"/>
      <name val="Open Sans Regular"/>
    </font>
    <font>
      <b/>
      <sz val="7"/>
      <color rgb="FF786E63"/>
      <name val="Open Sans Regular"/>
    </font>
    <font>
      <b/>
      <sz val="7"/>
      <color rgb="FF83603F"/>
      <name val="Open Sans Regular"/>
    </font>
    <font>
      <b/>
      <sz val="20"/>
      <color rgb="FF236092"/>
      <name val="Open Sans Regular"/>
    </font>
    <font>
      <u/>
      <sz val="8"/>
      <color theme="1"/>
      <name val="Open Sans Regular"/>
    </font>
    <font>
      <sz val="12"/>
      <color theme="0"/>
      <name val="Calibri"/>
      <family val="2"/>
      <scheme val="minor"/>
    </font>
    <font>
      <b/>
      <sz val="8"/>
      <color theme="1"/>
      <name val="Open Sans Extrabold"/>
      <family val="2"/>
    </font>
    <font>
      <sz val="12"/>
      <color theme="1"/>
      <name val="Open Sans Extrabold"/>
      <family val="2"/>
    </font>
    <font>
      <sz val="9"/>
      <color theme="1"/>
      <name val="Open Sans Extrabold"/>
      <family val="2"/>
    </font>
    <font>
      <sz val="10"/>
      <color theme="0"/>
      <name val="Open Sans Extrabold"/>
      <family val="2"/>
    </font>
    <font>
      <b/>
      <sz val="8"/>
      <name val="Open Sans Extrabold"/>
      <family val="2"/>
    </font>
    <font>
      <sz val="8"/>
      <name val="Open Sans Extrabold"/>
      <family val="2"/>
    </font>
    <font>
      <sz val="8"/>
      <color rgb="FFFF0000"/>
      <name val="Open Sans Regular"/>
    </font>
    <font>
      <sz val="8"/>
      <color rgb="FF000000"/>
      <name val="Segoe UI"/>
      <family val="2"/>
    </font>
  </fonts>
  <fills count="15">
    <fill>
      <patternFill patternType="none"/>
    </fill>
    <fill>
      <patternFill patternType="gray125"/>
    </fill>
    <fill>
      <patternFill patternType="solid">
        <fgColor theme="0"/>
        <bgColor indexed="64"/>
      </patternFill>
    </fill>
    <fill>
      <patternFill patternType="solid">
        <fgColor rgb="FFFFE1D1"/>
        <bgColor indexed="64"/>
      </patternFill>
    </fill>
    <fill>
      <patternFill patternType="solid">
        <fgColor rgb="FFFF671B"/>
        <bgColor indexed="64"/>
      </patternFill>
    </fill>
    <fill>
      <patternFill patternType="solid">
        <fgColor rgb="FF786E63"/>
        <bgColor indexed="64"/>
      </patternFill>
    </fill>
    <fill>
      <patternFill patternType="solid">
        <fgColor rgb="FFE4E2E0"/>
        <bgColor indexed="64"/>
      </patternFill>
    </fill>
    <fill>
      <patternFill patternType="solid">
        <fgColor theme="0" tint="-4.9989318521683403E-2"/>
        <bgColor indexed="64"/>
      </patternFill>
    </fill>
    <fill>
      <patternFill patternType="solid">
        <fgColor rgb="FF83603F"/>
        <bgColor indexed="64"/>
      </patternFill>
    </fill>
    <fill>
      <patternFill patternType="solid">
        <fgColor rgb="FFE6DFD8"/>
        <bgColor indexed="64"/>
      </patternFill>
    </fill>
    <fill>
      <patternFill patternType="solid">
        <fgColor rgb="FF4B9C2D"/>
        <bgColor indexed="64"/>
      </patternFill>
    </fill>
    <fill>
      <patternFill patternType="solid">
        <fgColor rgb="FFDBEBD5"/>
        <bgColor indexed="64"/>
      </patternFill>
    </fill>
    <fill>
      <patternFill patternType="solid">
        <fgColor rgb="FF0093C9"/>
        <bgColor indexed="64"/>
      </patternFill>
    </fill>
    <fill>
      <patternFill patternType="solid">
        <fgColor rgb="FFCCE9F4"/>
        <bgColor indexed="64"/>
      </patternFill>
    </fill>
    <fill>
      <patternFill patternType="solid">
        <fgColor rgb="FFFFFDD2"/>
        <bgColor indexed="64"/>
      </patternFill>
    </fill>
  </fills>
  <borders count="67">
    <border>
      <left/>
      <right/>
      <top/>
      <bottom/>
      <diagonal/>
    </border>
    <border>
      <left/>
      <right/>
      <top style="hair">
        <color theme="0" tint="-0.499984740745262"/>
      </top>
      <bottom style="hair">
        <color theme="0" tint="-0.499984740745262"/>
      </bottom>
      <diagonal/>
    </border>
    <border>
      <left style="thin">
        <color rgb="FFFFE1D1"/>
      </left>
      <right/>
      <top style="thin">
        <color rgb="FFFFE1D1"/>
      </top>
      <bottom style="thin">
        <color rgb="FFFFE1D1"/>
      </bottom>
      <diagonal/>
    </border>
    <border>
      <left/>
      <right/>
      <top style="thin">
        <color rgb="FFFFE1D1"/>
      </top>
      <bottom style="thin">
        <color rgb="FFFFE1D1"/>
      </bottom>
      <diagonal/>
    </border>
    <border>
      <left/>
      <right style="thin">
        <color rgb="FFFFE1D1"/>
      </right>
      <top style="thin">
        <color rgb="FFFFE1D1"/>
      </top>
      <bottom style="thin">
        <color rgb="FFFFE1D1"/>
      </bottom>
      <diagonal/>
    </border>
    <border>
      <left style="thin">
        <color rgb="FFFFE1D1"/>
      </left>
      <right/>
      <top style="thin">
        <color rgb="FFFFE1D1"/>
      </top>
      <bottom/>
      <diagonal/>
    </border>
    <border>
      <left/>
      <right/>
      <top style="thin">
        <color rgb="FFFFE1D1"/>
      </top>
      <bottom/>
      <diagonal/>
    </border>
    <border>
      <left/>
      <right style="thin">
        <color rgb="FFFFE1D1"/>
      </right>
      <top style="thin">
        <color rgb="FFFFE1D1"/>
      </top>
      <bottom/>
      <diagonal/>
    </border>
    <border>
      <left style="thin">
        <color rgb="FFFFE1D1"/>
      </left>
      <right/>
      <top/>
      <bottom/>
      <diagonal/>
    </border>
    <border>
      <left/>
      <right style="thin">
        <color rgb="FFFFE1D1"/>
      </right>
      <top/>
      <bottom/>
      <diagonal/>
    </border>
    <border>
      <left style="thin">
        <color rgb="FFFFE1D1"/>
      </left>
      <right/>
      <top/>
      <bottom style="thin">
        <color rgb="FFFFE1D1"/>
      </bottom>
      <diagonal/>
    </border>
    <border>
      <left/>
      <right/>
      <top/>
      <bottom style="thin">
        <color rgb="FFFFE1D1"/>
      </bottom>
      <diagonal/>
    </border>
    <border>
      <left/>
      <right style="thin">
        <color rgb="FFFFE1D1"/>
      </right>
      <top/>
      <bottom style="thin">
        <color rgb="FFFFE1D1"/>
      </bottom>
      <diagonal/>
    </border>
    <border>
      <left style="thin">
        <color auto="1"/>
      </left>
      <right style="thin">
        <color auto="1"/>
      </right>
      <top style="thin">
        <color auto="1"/>
      </top>
      <bottom style="thin">
        <color auto="1"/>
      </bottom>
      <diagonal/>
    </border>
    <border>
      <left/>
      <right/>
      <top/>
      <bottom style="hair">
        <color theme="0" tint="-0.499984740745262"/>
      </bottom>
      <diagonal/>
    </border>
    <border>
      <left style="thin">
        <color rgb="FFE4E2E0"/>
      </left>
      <right/>
      <top style="thin">
        <color rgb="FFE4E2E0"/>
      </top>
      <bottom/>
      <diagonal/>
    </border>
    <border>
      <left/>
      <right/>
      <top style="thin">
        <color rgb="FFE4E2E0"/>
      </top>
      <bottom/>
      <diagonal/>
    </border>
    <border>
      <left/>
      <right style="thin">
        <color rgb="FFE4E2E0"/>
      </right>
      <top style="thin">
        <color rgb="FFE4E2E0"/>
      </top>
      <bottom/>
      <diagonal/>
    </border>
    <border>
      <left style="thin">
        <color rgb="FFE4E2E0"/>
      </left>
      <right/>
      <top/>
      <bottom/>
      <diagonal/>
    </border>
    <border>
      <left/>
      <right style="thin">
        <color rgb="FFE4E2E0"/>
      </right>
      <top/>
      <bottom/>
      <diagonal/>
    </border>
    <border>
      <left style="thin">
        <color rgb="FFE4E2E0"/>
      </left>
      <right/>
      <top/>
      <bottom style="thin">
        <color rgb="FFE4E2E0"/>
      </bottom>
      <diagonal/>
    </border>
    <border>
      <left/>
      <right/>
      <top/>
      <bottom style="thin">
        <color rgb="FFE4E2E0"/>
      </bottom>
      <diagonal/>
    </border>
    <border>
      <left/>
      <right style="thin">
        <color rgb="FFE4E2E0"/>
      </right>
      <top/>
      <bottom style="thin">
        <color rgb="FFE4E2E0"/>
      </bottom>
      <diagonal/>
    </border>
    <border>
      <left style="thin">
        <color rgb="FFE4E2E0"/>
      </left>
      <right/>
      <top style="thin">
        <color rgb="FFE4E2E0"/>
      </top>
      <bottom style="thin">
        <color rgb="FFE4E2E0"/>
      </bottom>
      <diagonal/>
    </border>
    <border>
      <left/>
      <right/>
      <top style="thin">
        <color rgb="FFE4E2E0"/>
      </top>
      <bottom style="thin">
        <color rgb="FFE4E2E0"/>
      </bottom>
      <diagonal/>
    </border>
    <border>
      <left/>
      <right style="thin">
        <color rgb="FFE4E2E0"/>
      </right>
      <top style="thin">
        <color rgb="FFE4E2E0"/>
      </top>
      <bottom style="thin">
        <color rgb="FFE4E2E0"/>
      </bottom>
      <diagonal/>
    </border>
    <border>
      <left/>
      <right/>
      <top style="hair">
        <color theme="0" tint="-0.499984740745262"/>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E6DFD8"/>
      </left>
      <right/>
      <top style="thin">
        <color rgb="FFE6DFD8"/>
      </top>
      <bottom style="thin">
        <color rgb="FFE6DFD8"/>
      </bottom>
      <diagonal/>
    </border>
    <border>
      <left/>
      <right/>
      <top style="thin">
        <color rgb="FFE6DFD8"/>
      </top>
      <bottom style="thin">
        <color rgb="FFE6DFD8"/>
      </bottom>
      <diagonal/>
    </border>
    <border>
      <left/>
      <right style="thin">
        <color rgb="FFE6DFD8"/>
      </right>
      <top style="thin">
        <color rgb="FFE6DFD8"/>
      </top>
      <bottom style="thin">
        <color rgb="FFE6DFD8"/>
      </bottom>
      <diagonal/>
    </border>
    <border>
      <left style="thin">
        <color rgb="FF4B9C2D"/>
      </left>
      <right/>
      <top style="thin">
        <color rgb="FF4B9C2D"/>
      </top>
      <bottom/>
      <diagonal/>
    </border>
    <border>
      <left/>
      <right/>
      <top style="thin">
        <color rgb="FF4B9C2D"/>
      </top>
      <bottom/>
      <diagonal/>
    </border>
    <border>
      <left/>
      <right style="thin">
        <color rgb="FF4B9C2D"/>
      </right>
      <top style="thin">
        <color rgb="FF4B9C2D"/>
      </top>
      <bottom/>
      <diagonal/>
    </border>
    <border>
      <left style="thin">
        <color rgb="FFDBEBD5"/>
      </left>
      <right/>
      <top style="thin">
        <color rgb="FFDBEBD5"/>
      </top>
      <bottom/>
      <diagonal/>
    </border>
    <border>
      <left/>
      <right/>
      <top style="thin">
        <color rgb="FFDBEBD5"/>
      </top>
      <bottom/>
      <diagonal/>
    </border>
    <border>
      <left/>
      <right style="thin">
        <color rgb="FFDBEBD5"/>
      </right>
      <top style="thin">
        <color rgb="FFDBEBD5"/>
      </top>
      <bottom/>
      <diagonal/>
    </border>
    <border>
      <left style="thin">
        <color rgb="FFDBEBD5"/>
      </left>
      <right/>
      <top/>
      <bottom/>
      <diagonal/>
    </border>
    <border>
      <left/>
      <right style="thin">
        <color rgb="FFDBEBD5"/>
      </right>
      <top/>
      <bottom/>
      <diagonal/>
    </border>
    <border>
      <left style="thin">
        <color rgb="FFDBEBD5"/>
      </left>
      <right/>
      <top/>
      <bottom style="thin">
        <color rgb="FFDBEBD5"/>
      </bottom>
      <diagonal/>
    </border>
    <border>
      <left/>
      <right/>
      <top/>
      <bottom style="thin">
        <color rgb="FFDBEBD5"/>
      </bottom>
      <diagonal/>
    </border>
    <border>
      <left/>
      <right style="thin">
        <color rgb="FFDBEBD5"/>
      </right>
      <top/>
      <bottom style="thin">
        <color rgb="FFDBEBD5"/>
      </bottom>
      <diagonal/>
    </border>
    <border>
      <left style="thin">
        <color rgb="FFDBEBD5"/>
      </left>
      <right/>
      <top style="thin">
        <color rgb="FFDBEBD5"/>
      </top>
      <bottom style="thin">
        <color rgb="FFDBEBD5"/>
      </bottom>
      <diagonal/>
    </border>
    <border>
      <left/>
      <right/>
      <top style="thin">
        <color rgb="FFDBEBD5"/>
      </top>
      <bottom style="thin">
        <color rgb="FFDBEBD5"/>
      </bottom>
      <diagonal/>
    </border>
    <border>
      <left/>
      <right style="thin">
        <color rgb="FFDBEBD5"/>
      </right>
      <top style="thin">
        <color rgb="FFDBEBD5"/>
      </top>
      <bottom style="thin">
        <color rgb="FFDBEBD5"/>
      </bottom>
      <diagonal/>
    </border>
    <border>
      <left style="thin">
        <color rgb="FF0093C9"/>
      </left>
      <right/>
      <top style="thin">
        <color rgb="FF0093C9"/>
      </top>
      <bottom/>
      <diagonal/>
    </border>
    <border>
      <left/>
      <right/>
      <top style="thin">
        <color rgb="FF0093C9"/>
      </top>
      <bottom/>
      <diagonal/>
    </border>
    <border>
      <left/>
      <right style="thin">
        <color rgb="FF0093C9"/>
      </right>
      <top style="thin">
        <color rgb="FF0093C9"/>
      </top>
      <bottom/>
      <diagonal/>
    </border>
    <border>
      <left style="thin">
        <color rgb="FFCCE9F4"/>
      </left>
      <right/>
      <top style="thin">
        <color rgb="FFCCE9F4"/>
      </top>
      <bottom/>
      <diagonal/>
    </border>
    <border>
      <left/>
      <right/>
      <top style="thin">
        <color rgb="FFCCE9F4"/>
      </top>
      <bottom/>
      <diagonal/>
    </border>
    <border>
      <left/>
      <right style="thin">
        <color rgb="FFCCE9F4"/>
      </right>
      <top style="thin">
        <color rgb="FFCCE9F4"/>
      </top>
      <bottom/>
      <diagonal/>
    </border>
    <border>
      <left style="thin">
        <color rgb="FFCCE9F4"/>
      </left>
      <right/>
      <top/>
      <bottom/>
      <diagonal/>
    </border>
    <border>
      <left/>
      <right style="thin">
        <color rgb="FFCCE9F4"/>
      </right>
      <top/>
      <bottom/>
      <diagonal/>
    </border>
    <border>
      <left style="thin">
        <color rgb="FFCCE9F4"/>
      </left>
      <right/>
      <top/>
      <bottom style="thin">
        <color rgb="FFCCE9F4"/>
      </bottom>
      <diagonal/>
    </border>
    <border>
      <left/>
      <right/>
      <top/>
      <bottom style="thin">
        <color rgb="FFCCE9F4"/>
      </bottom>
      <diagonal/>
    </border>
    <border>
      <left/>
      <right style="thin">
        <color rgb="FFCCE9F4"/>
      </right>
      <top/>
      <bottom style="thin">
        <color rgb="FFCCE9F4"/>
      </bottom>
      <diagonal/>
    </border>
    <border>
      <left style="thin">
        <color rgb="FFCCE9F4"/>
      </left>
      <right/>
      <top style="thin">
        <color rgb="FFCCE9F4"/>
      </top>
      <bottom style="thin">
        <color rgb="FFCCE9F4"/>
      </bottom>
      <diagonal/>
    </border>
    <border>
      <left/>
      <right/>
      <top style="thin">
        <color rgb="FFCCE9F4"/>
      </top>
      <bottom style="thin">
        <color rgb="FFCCE9F4"/>
      </bottom>
      <diagonal/>
    </border>
    <border>
      <left/>
      <right style="thin">
        <color rgb="FFCCE9F4"/>
      </right>
      <top style="thin">
        <color rgb="FFCCE9F4"/>
      </top>
      <bottom style="thin">
        <color rgb="FFCCE9F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s>
  <cellStyleXfs count="30">
    <xf numFmtId="0" fontId="0" fillId="0" borderId="0"/>
    <xf numFmtId="0" fontId="2" fillId="0" borderId="0"/>
    <xf numFmtId="0" fontId="1" fillId="0" borderId="0"/>
    <xf numFmtId="0" fontId="18" fillId="0" borderId="0" applyNumberFormat="0" applyFill="0" applyBorder="0" applyAlignment="0" applyProtection="0">
      <alignment vertical="top"/>
      <protection locked="0"/>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292">
    <xf numFmtId="0" fontId="0" fillId="0" borderId="0" xfId="0"/>
    <xf numFmtId="0" fontId="19" fillId="2" borderId="0" xfId="3" applyFont="1" applyFill="1" applyAlignment="1" applyProtection="1">
      <alignment horizontal="center" vertical="center" wrapText="1"/>
    </xf>
    <xf numFmtId="12" fontId="15" fillId="0" borderId="0" xfId="2" applyNumberFormat="1" applyFont="1" applyAlignment="1">
      <alignment horizontal="right" vertical="center" wrapText="1"/>
    </xf>
    <xf numFmtId="0" fontId="0" fillId="0" borderId="0" xfId="0" applyAlignment="1">
      <alignment horizontal="left"/>
    </xf>
    <xf numFmtId="0" fontId="19" fillId="2" borderId="1" xfId="3" applyFont="1" applyFill="1" applyBorder="1" applyAlignment="1" applyProtection="1">
      <alignment horizontal="center" vertical="center" wrapText="1"/>
    </xf>
    <xf numFmtId="0" fontId="0" fillId="0" borderId="0" xfId="0" applyAlignment="1">
      <alignment horizontal="center"/>
    </xf>
    <xf numFmtId="12" fontId="15" fillId="0" borderId="0" xfId="2" applyNumberFormat="1" applyFont="1" applyAlignment="1">
      <alignment horizontal="left" vertical="center" wrapText="1"/>
    </xf>
    <xf numFmtId="0" fontId="19" fillId="2" borderId="14" xfId="3" applyFont="1" applyFill="1" applyBorder="1" applyAlignment="1" applyProtection="1">
      <alignment horizontal="center" vertical="center" wrapText="1"/>
    </xf>
    <xf numFmtId="0" fontId="31" fillId="0" borderId="13" xfId="0" quotePrefix="1" applyFont="1" applyBorder="1"/>
    <xf numFmtId="0" fontId="31" fillId="0" borderId="0" xfId="0" applyFont="1"/>
    <xf numFmtId="0" fontId="31" fillId="0" borderId="13" xfId="0" applyFont="1" applyBorder="1"/>
    <xf numFmtId="0" fontId="31" fillId="0" borderId="13" xfId="0" applyFont="1" applyBorder="1" applyAlignment="1">
      <alignment horizontal="center"/>
    </xf>
    <xf numFmtId="0" fontId="32" fillId="0" borderId="0" xfId="0" applyFont="1"/>
    <xf numFmtId="0" fontId="0" fillId="6" borderId="0" xfId="0" applyFill="1" applyAlignment="1">
      <alignment horizontal="left"/>
    </xf>
    <xf numFmtId="0" fontId="31" fillId="0" borderId="28" xfId="0" applyFont="1" applyBorder="1"/>
    <xf numFmtId="0" fontId="31" fillId="0" borderId="27" xfId="0" applyFont="1" applyBorder="1"/>
    <xf numFmtId="0" fontId="33" fillId="7" borderId="13" xfId="0" applyFont="1" applyFill="1" applyBorder="1"/>
    <xf numFmtId="0" fontId="33" fillId="7" borderId="13" xfId="0" applyFont="1" applyFill="1" applyBorder="1" applyAlignment="1">
      <alignment horizontal="center"/>
    </xf>
    <xf numFmtId="0" fontId="33" fillId="7" borderId="13" xfId="0" applyFont="1" applyFill="1" applyBorder="1" applyAlignment="1">
      <alignment horizontal="left"/>
    </xf>
    <xf numFmtId="0" fontId="33" fillId="7" borderId="13" xfId="0" applyFont="1" applyFill="1" applyBorder="1" applyAlignment="1">
      <alignment horizontal="left" textRotation="90"/>
    </xf>
    <xf numFmtId="0" fontId="31" fillId="0" borderId="0" xfId="0" applyFont="1" applyAlignment="1">
      <alignment horizontal="center"/>
    </xf>
    <xf numFmtId="0" fontId="31" fillId="0" borderId="28" xfId="0" applyFont="1" applyBorder="1" applyAlignment="1">
      <alignment horizontal="center"/>
    </xf>
    <xf numFmtId="0" fontId="20" fillId="2" borderId="0" xfId="0" applyFont="1" applyFill="1"/>
    <xf numFmtId="0" fontId="20" fillId="2" borderId="0" xfId="0" applyFont="1" applyFill="1" applyAlignment="1">
      <alignment vertical="center"/>
    </xf>
    <xf numFmtId="0" fontId="20" fillId="2" borderId="0" xfId="0" applyFont="1" applyFill="1" applyAlignment="1">
      <alignment horizontal="center" vertical="center"/>
    </xf>
    <xf numFmtId="0" fontId="20" fillId="2" borderId="13" xfId="0" applyFont="1" applyFill="1" applyBorder="1" applyAlignment="1">
      <alignment horizontal="center" vertical="center"/>
    </xf>
    <xf numFmtId="0" fontId="20" fillId="0" borderId="13" xfId="0" applyFont="1" applyBorder="1" applyAlignment="1">
      <alignment vertical="center"/>
    </xf>
    <xf numFmtId="0" fontId="20" fillId="0" borderId="13" xfId="0" applyFont="1" applyBorder="1" applyAlignment="1">
      <alignment horizontal="center" vertical="center"/>
    </xf>
    <xf numFmtId="1" fontId="20" fillId="2" borderId="13" xfId="0" applyNumberFormat="1" applyFont="1" applyFill="1" applyBorder="1" applyAlignment="1">
      <alignment horizontal="center" vertical="center"/>
    </xf>
    <xf numFmtId="0" fontId="20" fillId="0" borderId="0" xfId="0" applyFont="1" applyAlignment="1">
      <alignment vertical="center"/>
    </xf>
    <xf numFmtId="0" fontId="40" fillId="2" borderId="13" xfId="0" applyFont="1" applyFill="1" applyBorder="1" applyAlignment="1">
      <alignment vertical="center"/>
    </xf>
    <xf numFmtId="1" fontId="40" fillId="2" borderId="13" xfId="0" applyNumberFormat="1" applyFont="1" applyFill="1" applyBorder="1" applyAlignment="1">
      <alignment horizontal="center" vertical="center"/>
    </xf>
    <xf numFmtId="0" fontId="40" fillId="2" borderId="13" xfId="0" applyFont="1" applyFill="1" applyBorder="1" applyAlignment="1">
      <alignment horizontal="center" vertical="center"/>
    </xf>
    <xf numFmtId="0" fontId="20" fillId="2" borderId="63" xfId="0" applyFont="1" applyFill="1" applyBorder="1"/>
    <xf numFmtId="0" fontId="20" fillId="2" borderId="64" xfId="0" applyFont="1" applyFill="1" applyBorder="1"/>
    <xf numFmtId="0" fontId="20" fillId="2" borderId="65" xfId="0" applyFont="1" applyFill="1" applyBorder="1"/>
    <xf numFmtId="0" fontId="43" fillId="2" borderId="64" xfId="0" applyFont="1" applyFill="1" applyBorder="1" applyAlignment="1">
      <alignment horizontal="center"/>
    </xf>
    <xf numFmtId="0" fontId="42" fillId="2" borderId="64" xfId="0" applyFont="1" applyFill="1" applyBorder="1" applyAlignment="1">
      <alignment horizontal="center"/>
    </xf>
    <xf numFmtId="0" fontId="45" fillId="2" borderId="64" xfId="0" applyFont="1" applyFill="1" applyBorder="1" applyAlignment="1">
      <alignment horizontal="center"/>
    </xf>
    <xf numFmtId="0" fontId="41" fillId="2" borderId="64" xfId="0" applyFont="1" applyFill="1" applyBorder="1" applyAlignment="1">
      <alignment horizontal="center"/>
    </xf>
    <xf numFmtId="0" fontId="5" fillId="2" borderId="0" xfId="1" applyFont="1" applyFill="1"/>
    <xf numFmtId="0" fontId="6" fillId="2" borderId="0" xfId="1" applyFont="1" applyFill="1"/>
    <xf numFmtId="0" fontId="6" fillId="2" borderId="0" xfId="1" applyFont="1" applyFill="1" applyAlignment="1">
      <alignment horizontal="center"/>
    </xf>
    <xf numFmtId="2" fontId="3" fillId="2" borderId="0" xfId="1" applyNumberFormat="1" applyFont="1" applyFill="1" applyAlignment="1">
      <alignment horizontal="center" vertical="center"/>
    </xf>
    <xf numFmtId="12" fontId="4" fillId="2" borderId="0" xfId="1" applyNumberFormat="1" applyFont="1" applyFill="1"/>
    <xf numFmtId="0" fontId="7" fillId="2" borderId="0" xfId="1" applyFont="1" applyFill="1"/>
    <xf numFmtId="0" fontId="4" fillId="2" borderId="0" xfId="1" applyFont="1" applyFill="1" applyAlignment="1">
      <alignment horizontal="center" vertical="center"/>
    </xf>
    <xf numFmtId="0" fontId="22" fillId="2" borderId="0" xfId="0" applyFont="1" applyFill="1" applyAlignment="1">
      <alignment vertical="center"/>
    </xf>
    <xf numFmtId="0" fontId="43" fillId="2" borderId="0" xfId="0" applyFont="1" applyFill="1" applyAlignment="1">
      <alignment horizontal="center" vertical="center"/>
    </xf>
    <xf numFmtId="0" fontId="41" fillId="2" borderId="0" xfId="0" applyFont="1" applyFill="1" applyAlignment="1">
      <alignment horizontal="center" vertical="center"/>
    </xf>
    <xf numFmtId="0" fontId="41" fillId="2" borderId="64" xfId="0" applyFont="1" applyFill="1" applyBorder="1" applyAlignment="1">
      <alignment horizontal="center" vertical="top"/>
    </xf>
    <xf numFmtId="0" fontId="42" fillId="2" borderId="64" xfId="0" applyFont="1" applyFill="1" applyBorder="1" applyAlignment="1">
      <alignment horizontal="center" vertical="top"/>
    </xf>
    <xf numFmtId="0" fontId="45" fillId="2" borderId="64" xfId="0" applyFont="1" applyFill="1" applyBorder="1" applyAlignment="1">
      <alignment horizontal="center" vertical="top"/>
    </xf>
    <xf numFmtId="0" fontId="44" fillId="2" borderId="64" xfId="0" applyFont="1" applyFill="1" applyBorder="1" applyAlignment="1">
      <alignment horizontal="center" vertical="top"/>
    </xf>
    <xf numFmtId="0" fontId="46" fillId="2" borderId="0" xfId="0" applyFont="1" applyFill="1"/>
    <xf numFmtId="0" fontId="40" fillId="2" borderId="0" xfId="0" applyFont="1" applyFill="1" applyAlignment="1">
      <alignment vertical="center"/>
    </xf>
    <xf numFmtId="1" fontId="40" fillId="2" borderId="0" xfId="0" applyNumberFormat="1" applyFont="1" applyFill="1" applyAlignment="1">
      <alignment horizontal="center" vertical="center"/>
    </xf>
    <xf numFmtId="0" fontId="4" fillId="0" borderId="0" xfId="1" applyFont="1" applyAlignment="1">
      <alignment vertical="center"/>
    </xf>
    <xf numFmtId="0" fontId="24" fillId="0" borderId="0" xfId="1" applyFont="1" applyAlignment="1">
      <alignment vertical="center"/>
    </xf>
    <xf numFmtId="0" fontId="4" fillId="0" borderId="0" xfId="1" applyFont="1" applyAlignment="1">
      <alignment horizontal="left" vertical="center"/>
    </xf>
    <xf numFmtId="0" fontId="7" fillId="0" borderId="0" xfId="1" applyFont="1" applyAlignment="1">
      <alignment horizontal="left" vertical="center"/>
    </xf>
    <xf numFmtId="0" fontId="9" fillId="0" borderId="0" xfId="1" applyFont="1" applyAlignment="1">
      <alignment vertical="center"/>
    </xf>
    <xf numFmtId="0" fontId="10" fillId="0" borderId="0" xfId="2" applyFont="1" applyAlignment="1">
      <alignment horizontal="left" vertical="center"/>
    </xf>
    <xf numFmtId="0" fontId="28" fillId="0" borderId="0" xfId="2" applyFont="1" applyAlignment="1">
      <alignment horizontal="left" vertical="center"/>
    </xf>
    <xf numFmtId="0" fontId="9" fillId="0" borderId="0" xfId="2" applyFont="1" applyAlignment="1">
      <alignment horizontal="left" vertical="center"/>
    </xf>
    <xf numFmtId="0" fontId="6" fillId="0" borderId="0" xfId="2" applyFont="1" applyAlignment="1">
      <alignment vertical="center" wrapText="1"/>
    </xf>
    <xf numFmtId="0" fontId="6" fillId="0" borderId="0" xfId="1" applyFont="1" applyAlignment="1">
      <alignment vertical="center"/>
    </xf>
    <xf numFmtId="0" fontId="11" fillId="0" borderId="0" xfId="2" applyFont="1" applyAlignment="1">
      <alignment vertical="center"/>
    </xf>
    <xf numFmtId="0" fontId="11" fillId="0" borderId="0" xfId="2" applyFont="1" applyAlignment="1">
      <alignment vertical="center" wrapText="1"/>
    </xf>
    <xf numFmtId="0" fontId="11" fillId="0" borderId="0" xfId="1" applyFont="1" applyAlignment="1">
      <alignment vertical="center"/>
    </xf>
    <xf numFmtId="0" fontId="12" fillId="0" borderId="0" xfId="2" applyFont="1" applyAlignment="1">
      <alignment horizontal="left" vertical="center"/>
    </xf>
    <xf numFmtId="0" fontId="29" fillId="0" borderId="0" xfId="2" applyFont="1" applyAlignment="1">
      <alignment horizontal="left" vertical="center"/>
    </xf>
    <xf numFmtId="0" fontId="4" fillId="4" borderId="0" xfId="2" applyFont="1" applyFill="1" applyAlignment="1">
      <alignment vertical="center"/>
    </xf>
    <xf numFmtId="0" fontId="13" fillId="4" borderId="0" xfId="2" applyFont="1" applyFill="1" applyAlignment="1">
      <alignment horizontal="left" vertical="center"/>
    </xf>
    <xf numFmtId="0" fontId="13" fillId="4" borderId="0" xfId="2" applyFont="1" applyFill="1" applyAlignment="1">
      <alignment horizontal="right" vertical="center"/>
    </xf>
    <xf numFmtId="0" fontId="14" fillId="0" borderId="0" xfId="2" applyFont="1" applyAlignment="1">
      <alignment vertical="center"/>
    </xf>
    <xf numFmtId="0" fontId="4" fillId="3" borderId="5" xfId="2" applyFont="1" applyFill="1" applyBorder="1" applyAlignment="1">
      <alignment vertical="center"/>
    </xf>
    <xf numFmtId="0" fontId="16" fillId="3" borderId="7" xfId="2" applyFont="1" applyFill="1" applyBorder="1" applyAlignment="1">
      <alignment horizontal="left" vertical="center" wrapText="1"/>
    </xf>
    <xf numFmtId="0" fontId="4" fillId="0" borderId="0" xfId="2" applyFont="1" applyAlignment="1">
      <alignment vertical="center" wrapText="1"/>
    </xf>
    <xf numFmtId="0" fontId="4" fillId="3" borderId="8" xfId="2" applyFont="1" applyFill="1" applyBorder="1" applyAlignment="1">
      <alignment vertical="center"/>
    </xf>
    <xf numFmtId="0" fontId="16" fillId="3" borderId="9" xfId="2" applyFont="1" applyFill="1" applyBorder="1" applyAlignment="1">
      <alignment horizontal="left" vertical="center" wrapText="1"/>
    </xf>
    <xf numFmtId="0" fontId="4" fillId="3" borderId="10" xfId="2" applyFont="1" applyFill="1" applyBorder="1" applyAlignment="1">
      <alignment vertical="center"/>
    </xf>
    <xf numFmtId="0" fontId="16" fillId="3" borderId="11"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16" fillId="3" borderId="12" xfId="2" applyFont="1" applyFill="1" applyBorder="1" applyAlignment="1">
      <alignment horizontal="left" vertical="center" wrapText="1"/>
    </xf>
    <xf numFmtId="0" fontId="4" fillId="0" borderId="0" xfId="2" applyFont="1" applyAlignment="1">
      <alignment vertical="center"/>
    </xf>
    <xf numFmtId="0" fontId="15" fillId="2" borderId="0" xfId="2" applyFont="1" applyFill="1" applyAlignment="1">
      <alignment horizontal="left" vertical="center" wrapText="1"/>
    </xf>
    <xf numFmtId="0" fontId="17" fillId="0" borderId="1" xfId="2" applyFont="1" applyBorder="1" applyAlignment="1">
      <alignment horizontal="left" vertical="center" wrapText="1"/>
    </xf>
    <xf numFmtId="0" fontId="27" fillId="0" borderId="1" xfId="2" applyFont="1" applyBorder="1" applyAlignment="1">
      <alignment horizontal="center" vertical="center" wrapText="1"/>
    </xf>
    <xf numFmtId="0" fontId="4" fillId="3" borderId="2" xfId="2" applyFont="1" applyFill="1" applyBorder="1" applyAlignment="1">
      <alignment vertical="center"/>
    </xf>
    <xf numFmtId="0" fontId="16" fillId="3" borderId="3" xfId="2" applyFont="1" applyFill="1" applyBorder="1" applyAlignment="1">
      <alignment horizontal="center" vertical="center" wrapText="1"/>
    </xf>
    <xf numFmtId="0" fontId="30" fillId="3" borderId="3" xfId="2" applyFont="1" applyFill="1" applyBorder="1" applyAlignment="1">
      <alignment horizontal="center" vertical="center" wrapText="1"/>
    </xf>
    <xf numFmtId="0" fontId="16" fillId="3" borderId="4" xfId="2" applyFont="1" applyFill="1" applyBorder="1" applyAlignment="1">
      <alignment horizontal="left" vertical="center" wrapText="1"/>
    </xf>
    <xf numFmtId="0" fontId="15" fillId="2" borderId="1" xfId="2" applyFont="1" applyFill="1" applyBorder="1" applyAlignment="1">
      <alignment horizontal="left" vertical="center" wrapText="1"/>
    </xf>
    <xf numFmtId="0" fontId="15" fillId="0" borderId="1" xfId="2" applyFont="1" applyBorder="1" applyAlignment="1">
      <alignment horizontal="left" vertical="center" wrapText="1"/>
    </xf>
    <xf numFmtId="0" fontId="16" fillId="0" borderId="0" xfId="2" applyFont="1" applyAlignment="1">
      <alignment horizontal="right" vertical="center" wrapText="1"/>
    </xf>
    <xf numFmtId="12" fontId="27" fillId="0" borderId="0" xfId="2" applyNumberFormat="1" applyFont="1" applyAlignment="1">
      <alignment horizontal="center" vertical="center" wrapText="1"/>
    </xf>
    <xf numFmtId="12" fontId="16" fillId="0" borderId="0" xfId="2" applyNumberFormat="1" applyFont="1" applyAlignment="1">
      <alignment horizontal="center" vertical="center" wrapText="1"/>
    </xf>
    <xf numFmtId="0" fontId="14" fillId="0" borderId="0" xfId="2" applyFont="1" applyAlignment="1">
      <alignment horizontal="right" vertical="center" wrapText="1"/>
    </xf>
    <xf numFmtId="12" fontId="4" fillId="0" borderId="0" xfId="2" applyNumberFormat="1" applyFont="1" applyAlignment="1">
      <alignment horizontal="left" vertical="center" wrapText="1"/>
    </xf>
    <xf numFmtId="12" fontId="7" fillId="0" borderId="0" xfId="1" applyNumberFormat="1" applyFont="1" applyAlignment="1">
      <alignment horizontal="left" vertical="center"/>
    </xf>
    <xf numFmtId="0" fontId="9" fillId="0" borderId="0" xfId="1" applyFont="1" applyAlignment="1">
      <alignment horizontal="center" vertical="center"/>
    </xf>
    <xf numFmtId="0" fontId="16" fillId="3" borderId="11" xfId="2" applyFont="1" applyFill="1" applyBorder="1" applyAlignment="1">
      <alignment horizontal="left" vertical="center" wrapText="1"/>
    </xf>
    <xf numFmtId="0" fontId="17" fillId="2" borderId="0" xfId="2" applyFont="1" applyFill="1" applyAlignment="1">
      <alignment horizontal="left" vertical="center" wrapText="1"/>
    </xf>
    <xf numFmtId="0" fontId="16" fillId="3" borderId="3" xfId="2" applyFont="1" applyFill="1" applyBorder="1" applyAlignment="1">
      <alignment horizontal="left" vertical="center" wrapText="1"/>
    </xf>
    <xf numFmtId="0" fontId="27" fillId="0" borderId="1" xfId="2" applyFont="1" applyBorder="1" applyAlignment="1">
      <alignment horizontal="left" vertical="center" wrapText="1"/>
    </xf>
    <xf numFmtId="0" fontId="17" fillId="2" borderId="1" xfId="2" applyFont="1" applyFill="1" applyBorder="1" applyAlignment="1">
      <alignment horizontal="left" vertical="center" wrapText="1"/>
    </xf>
    <xf numFmtId="12" fontId="27" fillId="0" borderId="0" xfId="2" applyNumberFormat="1" applyFont="1" applyAlignment="1">
      <alignment horizontal="left" vertical="center" wrapText="1"/>
    </xf>
    <xf numFmtId="0" fontId="27" fillId="0" borderId="1" xfId="2" applyFont="1" applyBorder="1" applyAlignment="1" applyProtection="1">
      <alignment horizontal="center" vertical="center" wrapText="1"/>
      <protection locked="0"/>
    </xf>
    <xf numFmtId="0" fontId="25" fillId="0" borderId="0" xfId="1" applyFont="1" applyAlignment="1">
      <alignment vertical="center"/>
    </xf>
    <xf numFmtId="0" fontId="4" fillId="5" borderId="0" xfId="2" applyFont="1" applyFill="1" applyAlignment="1">
      <alignment vertical="center"/>
    </xf>
    <xf numFmtId="0" fontId="13" fillId="5" borderId="0" xfId="2" applyFont="1" applyFill="1" applyAlignment="1">
      <alignment horizontal="left" vertical="center"/>
    </xf>
    <xf numFmtId="0" fontId="13" fillId="5" borderId="0" xfId="2" applyFont="1" applyFill="1" applyAlignment="1">
      <alignment horizontal="right" vertical="center"/>
    </xf>
    <xf numFmtId="0" fontId="4" fillId="6" borderId="15" xfId="2" applyFont="1" applyFill="1" applyBorder="1" applyAlignment="1">
      <alignment vertical="center"/>
    </xf>
    <xf numFmtId="0" fontId="16" fillId="6" borderId="17" xfId="2" applyFont="1" applyFill="1" applyBorder="1" applyAlignment="1">
      <alignment horizontal="left" vertical="center" wrapText="1"/>
    </xf>
    <xf numFmtId="0" fontId="4" fillId="6" borderId="18" xfId="2" applyFont="1" applyFill="1" applyBorder="1" applyAlignment="1">
      <alignment vertical="center"/>
    </xf>
    <xf numFmtId="0" fontId="16" fillId="6" borderId="19" xfId="2" applyFont="1" applyFill="1" applyBorder="1" applyAlignment="1">
      <alignment horizontal="left" vertical="center" wrapText="1"/>
    </xf>
    <xf numFmtId="0" fontId="4" fillId="6" borderId="20" xfId="2" applyFont="1" applyFill="1" applyBorder="1" applyAlignment="1">
      <alignment vertical="center"/>
    </xf>
    <xf numFmtId="0" fontId="16" fillId="6" borderId="21" xfId="2" applyFont="1" applyFill="1" applyBorder="1" applyAlignment="1">
      <alignment horizontal="center" vertical="center" wrapText="1"/>
    </xf>
    <xf numFmtId="0" fontId="30" fillId="6" borderId="21" xfId="2" applyFont="1" applyFill="1" applyBorder="1" applyAlignment="1">
      <alignment horizontal="center" vertical="center" wrapText="1"/>
    </xf>
    <xf numFmtId="0" fontId="16" fillId="6" borderId="22" xfId="2" applyFont="1" applyFill="1" applyBorder="1" applyAlignment="1">
      <alignment horizontal="left" vertical="center" wrapText="1"/>
    </xf>
    <xf numFmtId="0" fontId="17" fillId="0" borderId="0" xfId="2" applyFont="1" applyAlignment="1">
      <alignment horizontal="left" vertical="center" wrapText="1"/>
    </xf>
    <xf numFmtId="0" fontId="4" fillId="6" borderId="23" xfId="2" applyFont="1" applyFill="1" applyBorder="1" applyAlignment="1">
      <alignment vertical="center"/>
    </xf>
    <xf numFmtId="0" fontId="16" fillId="6" borderId="24" xfId="2" applyFont="1" applyFill="1" applyBorder="1" applyAlignment="1">
      <alignment horizontal="center" vertical="center" wrapText="1"/>
    </xf>
    <xf numFmtId="0" fontId="30" fillId="6" borderId="24" xfId="2" applyFont="1" applyFill="1" applyBorder="1" applyAlignment="1">
      <alignment horizontal="center" vertical="center" wrapText="1"/>
    </xf>
    <xf numFmtId="0" fontId="16" fillId="6" borderId="25" xfId="2" applyFont="1" applyFill="1" applyBorder="1" applyAlignment="1">
      <alignment horizontal="left" vertical="center" wrapText="1"/>
    </xf>
    <xf numFmtId="0" fontId="15" fillId="2" borderId="14" xfId="2" applyFont="1" applyFill="1" applyBorder="1" applyAlignment="1">
      <alignment horizontal="left" vertical="center" wrapText="1"/>
    </xf>
    <xf numFmtId="0" fontId="15" fillId="0" borderId="14" xfId="2" applyFont="1" applyBorder="1" applyAlignment="1">
      <alignment horizontal="left" vertical="center" wrapText="1"/>
    </xf>
    <xf numFmtId="0" fontId="17" fillId="0" borderId="14" xfId="2" applyFont="1" applyBorder="1" applyAlignment="1">
      <alignment horizontal="left" vertical="center" wrapText="1"/>
    </xf>
    <xf numFmtId="0" fontId="27" fillId="0" borderId="14" xfId="2" applyFont="1" applyBorder="1" applyAlignment="1">
      <alignment horizontal="center" vertical="center" wrapText="1"/>
    </xf>
    <xf numFmtId="0" fontId="16" fillId="6" borderId="24" xfId="2" applyFont="1" applyFill="1" applyBorder="1" applyAlignment="1">
      <alignment horizontal="left" vertical="center" wrapText="1"/>
    </xf>
    <xf numFmtId="0" fontId="17" fillId="2" borderId="1" xfId="2" applyFont="1" applyFill="1" applyBorder="1" applyAlignment="1">
      <alignment horizontal="center" vertical="center" wrapText="1"/>
    </xf>
    <xf numFmtId="0" fontId="4" fillId="0" borderId="0" xfId="1" quotePrefix="1" applyFont="1" applyAlignment="1">
      <alignment vertical="center"/>
    </xf>
    <xf numFmtId="0" fontId="35" fillId="0" borderId="0" xfId="1" applyFont="1" applyAlignment="1">
      <alignment vertical="center"/>
    </xf>
    <xf numFmtId="0" fontId="4" fillId="8" borderId="21" xfId="2" applyFont="1" applyFill="1" applyBorder="1" applyAlignment="1">
      <alignment vertical="center"/>
    </xf>
    <xf numFmtId="0" fontId="13" fillId="8" borderId="21" xfId="2" applyFont="1" applyFill="1" applyBorder="1" applyAlignment="1">
      <alignment horizontal="left" vertical="center"/>
    </xf>
    <xf numFmtId="0" fontId="13" fillId="8" borderId="21" xfId="2" applyFont="1" applyFill="1" applyBorder="1" applyAlignment="1">
      <alignment horizontal="right" vertical="center"/>
    </xf>
    <xf numFmtId="0" fontId="4" fillId="9" borderId="15" xfId="2" applyFont="1" applyFill="1" applyBorder="1" applyAlignment="1">
      <alignment vertical="center"/>
    </xf>
    <xf numFmtId="0" fontId="16" fillId="9" borderId="17" xfId="2" applyFont="1" applyFill="1" applyBorder="1" applyAlignment="1">
      <alignment horizontal="left" vertical="center" wrapText="1"/>
    </xf>
    <xf numFmtId="0" fontId="4" fillId="9" borderId="18" xfId="2" applyFont="1" applyFill="1" applyBorder="1" applyAlignment="1">
      <alignment vertical="center"/>
    </xf>
    <xf numFmtId="0" fontId="16" fillId="9" borderId="19" xfId="2" applyFont="1" applyFill="1" applyBorder="1" applyAlignment="1">
      <alignment horizontal="left" vertical="center" wrapText="1"/>
    </xf>
    <xf numFmtId="0" fontId="4" fillId="9" borderId="20" xfId="2" applyFont="1" applyFill="1" applyBorder="1" applyAlignment="1">
      <alignment vertical="center"/>
    </xf>
    <xf numFmtId="0" fontId="16" fillId="9" borderId="21" xfId="2" applyFont="1" applyFill="1" applyBorder="1" applyAlignment="1">
      <alignment horizontal="center" vertical="center" wrapText="1"/>
    </xf>
    <xf numFmtId="0" fontId="30" fillId="9" borderId="21" xfId="2" applyFont="1" applyFill="1" applyBorder="1" applyAlignment="1">
      <alignment horizontal="center" vertical="center" wrapText="1"/>
    </xf>
    <xf numFmtId="0" fontId="16" fillId="9" borderId="22" xfId="2" applyFont="1" applyFill="1" applyBorder="1" applyAlignment="1">
      <alignment horizontal="left" vertical="center" wrapText="1"/>
    </xf>
    <xf numFmtId="0" fontId="4" fillId="9" borderId="29" xfId="2" applyFont="1" applyFill="1" applyBorder="1" applyAlignment="1">
      <alignment vertical="center"/>
    </xf>
    <xf numFmtId="0" fontId="16" fillId="9" borderId="30" xfId="2" applyFont="1" applyFill="1" applyBorder="1" applyAlignment="1">
      <alignment horizontal="center" vertical="center" wrapText="1"/>
    </xf>
    <xf numFmtId="0" fontId="30" fillId="9" borderId="30" xfId="2" applyFont="1" applyFill="1" applyBorder="1" applyAlignment="1">
      <alignment horizontal="center" vertical="center" wrapText="1"/>
    </xf>
    <xf numFmtId="0" fontId="16" fillId="9" borderId="31" xfId="2" applyFont="1" applyFill="1" applyBorder="1" applyAlignment="1">
      <alignment horizontal="left" vertical="center" wrapText="1"/>
    </xf>
    <xf numFmtId="0" fontId="17" fillId="0" borderId="1" xfId="2" applyFont="1" applyBorder="1" applyAlignment="1">
      <alignment horizontal="center" vertical="center" wrapText="1"/>
    </xf>
    <xf numFmtId="0" fontId="16" fillId="9" borderId="30" xfId="2" applyFont="1" applyFill="1" applyBorder="1" applyAlignment="1">
      <alignment horizontal="left" vertical="center" wrapText="1"/>
    </xf>
    <xf numFmtId="0" fontId="4" fillId="9" borderId="23" xfId="2" applyFont="1" applyFill="1" applyBorder="1" applyAlignment="1">
      <alignment vertical="center"/>
    </xf>
    <xf numFmtId="0" fontId="16" fillId="9" borderId="24" xfId="2" applyFont="1" applyFill="1" applyBorder="1" applyAlignment="1">
      <alignment horizontal="left" vertical="center" wrapText="1"/>
    </xf>
    <xf numFmtId="0" fontId="30" fillId="9" borderId="24" xfId="2" applyFont="1" applyFill="1" applyBorder="1" applyAlignment="1">
      <alignment horizontal="center" vertical="center" wrapText="1"/>
    </xf>
    <xf numFmtId="0" fontId="16" fillId="9" borderId="25" xfId="2" applyFont="1" applyFill="1" applyBorder="1" applyAlignment="1">
      <alignment horizontal="left" vertical="center" wrapText="1"/>
    </xf>
    <xf numFmtId="0" fontId="36" fillId="0" borderId="0" xfId="1" applyFont="1" applyAlignment="1">
      <alignment vertical="center"/>
    </xf>
    <xf numFmtId="0" fontId="4" fillId="10" borderId="32" xfId="2" applyFont="1" applyFill="1" applyBorder="1" applyAlignment="1">
      <alignment vertical="center"/>
    </xf>
    <xf numFmtId="0" fontId="13" fillId="10" borderId="33" xfId="2" applyFont="1" applyFill="1" applyBorder="1" applyAlignment="1">
      <alignment horizontal="left" vertical="center"/>
    </xf>
    <xf numFmtId="0" fontId="13" fillId="10" borderId="33" xfId="2" applyFont="1" applyFill="1" applyBorder="1" applyAlignment="1">
      <alignment horizontal="right" vertical="center"/>
    </xf>
    <xf numFmtId="0" fontId="13" fillId="10" borderId="34" xfId="2" applyFont="1" applyFill="1" applyBorder="1" applyAlignment="1">
      <alignment horizontal="left" vertical="center"/>
    </xf>
    <xf numFmtId="0" fontId="4" fillId="11" borderId="35" xfId="2" applyFont="1" applyFill="1" applyBorder="1" applyAlignment="1">
      <alignment vertical="center"/>
    </xf>
    <xf numFmtId="0" fontId="16" fillId="11" borderId="37" xfId="2" applyFont="1" applyFill="1" applyBorder="1" applyAlignment="1">
      <alignment horizontal="left" vertical="center" wrapText="1"/>
    </xf>
    <xf numFmtId="0" fontId="4" fillId="11" borderId="38" xfId="2" applyFont="1" applyFill="1" applyBorder="1" applyAlignment="1">
      <alignment vertical="center"/>
    </xf>
    <xf numFmtId="0" fontId="16" fillId="11" borderId="39" xfId="2" applyFont="1" applyFill="1" applyBorder="1" applyAlignment="1">
      <alignment horizontal="left" vertical="center" wrapText="1"/>
    </xf>
    <xf numFmtId="0" fontId="4" fillId="11" borderId="40" xfId="2" applyFont="1" applyFill="1" applyBorder="1" applyAlignment="1">
      <alignment vertical="center"/>
    </xf>
    <xf numFmtId="0" fontId="16" fillId="11" borderId="41" xfId="2" applyFont="1" applyFill="1" applyBorder="1" applyAlignment="1">
      <alignment horizontal="center" vertical="center" wrapText="1"/>
    </xf>
    <xf numFmtId="0" fontId="30" fillId="11" borderId="41" xfId="2" applyFont="1" applyFill="1" applyBorder="1" applyAlignment="1">
      <alignment horizontal="center" vertical="center" wrapText="1"/>
    </xf>
    <xf numFmtId="0" fontId="16" fillId="11" borderId="42" xfId="2" applyFont="1" applyFill="1" applyBorder="1" applyAlignment="1">
      <alignment horizontal="left" vertical="center" wrapText="1"/>
    </xf>
    <xf numFmtId="0" fontId="4" fillId="11" borderId="43" xfId="2" applyFont="1" applyFill="1" applyBorder="1" applyAlignment="1">
      <alignment vertical="center"/>
    </xf>
    <xf numFmtId="0" fontId="16" fillId="11" borderId="44" xfId="2" applyFont="1" applyFill="1" applyBorder="1" applyAlignment="1">
      <alignment horizontal="center" vertical="center" wrapText="1"/>
    </xf>
    <xf numFmtId="0" fontId="30" fillId="11" borderId="44" xfId="2" applyFont="1" applyFill="1" applyBorder="1" applyAlignment="1">
      <alignment horizontal="center" vertical="center" wrapText="1"/>
    </xf>
    <xf numFmtId="0" fontId="16" fillId="11" borderId="45" xfId="2" applyFont="1" applyFill="1" applyBorder="1" applyAlignment="1">
      <alignment horizontal="left" vertical="center" wrapText="1"/>
    </xf>
    <xf numFmtId="0" fontId="16" fillId="11" borderId="44" xfId="2" applyFont="1" applyFill="1" applyBorder="1" applyAlignment="1">
      <alignment horizontal="left" vertical="center" wrapText="1"/>
    </xf>
    <xf numFmtId="0" fontId="27" fillId="0" borderId="14" xfId="2" applyFont="1" applyBorder="1" applyAlignment="1">
      <alignment horizontal="left" vertical="center" wrapText="1"/>
    </xf>
    <xf numFmtId="0" fontId="38" fillId="0" borderId="0" xfId="1" applyFont="1" applyAlignment="1">
      <alignment vertical="center"/>
    </xf>
    <xf numFmtId="0" fontId="4" fillId="12" borderId="46" xfId="2" applyFont="1" applyFill="1" applyBorder="1" applyAlignment="1">
      <alignment vertical="center"/>
    </xf>
    <xf numFmtId="0" fontId="13" fillId="12" borderId="47" xfId="2" applyFont="1" applyFill="1" applyBorder="1" applyAlignment="1">
      <alignment horizontal="left" vertical="center"/>
    </xf>
    <xf numFmtId="0" fontId="13" fillId="12" borderId="47" xfId="2" applyFont="1" applyFill="1" applyBorder="1" applyAlignment="1">
      <alignment horizontal="right" vertical="center"/>
    </xf>
    <xf numFmtId="0" fontId="13" fillId="12" borderId="48" xfId="2" applyFont="1" applyFill="1" applyBorder="1" applyAlignment="1">
      <alignment horizontal="left" vertical="center"/>
    </xf>
    <xf numFmtId="0" fontId="4" fillId="13" borderId="49" xfId="2" applyFont="1" applyFill="1" applyBorder="1" applyAlignment="1">
      <alignment vertical="center"/>
    </xf>
    <xf numFmtId="0" fontId="16" fillId="13" borderId="51" xfId="2" applyFont="1" applyFill="1" applyBorder="1" applyAlignment="1">
      <alignment horizontal="left" vertical="center" wrapText="1"/>
    </xf>
    <xf numFmtId="0" fontId="4" fillId="13" borderId="52" xfId="2" applyFont="1" applyFill="1" applyBorder="1" applyAlignment="1">
      <alignment vertical="center"/>
    </xf>
    <xf numFmtId="0" fontId="16" fillId="13" borderId="53" xfId="2" applyFont="1" applyFill="1" applyBorder="1" applyAlignment="1">
      <alignment horizontal="left" vertical="center" wrapText="1"/>
    </xf>
    <xf numFmtId="0" fontId="4" fillId="13" borderId="54" xfId="2" applyFont="1" applyFill="1" applyBorder="1" applyAlignment="1">
      <alignment vertical="center"/>
    </xf>
    <xf numFmtId="0" fontId="16" fillId="13" borderId="55" xfId="2" applyFont="1" applyFill="1" applyBorder="1" applyAlignment="1">
      <alignment horizontal="center" vertical="center" wrapText="1"/>
    </xf>
    <xf numFmtId="0" fontId="30" fillId="13" borderId="55" xfId="2" applyFont="1" applyFill="1" applyBorder="1" applyAlignment="1">
      <alignment horizontal="center" vertical="center" wrapText="1"/>
    </xf>
    <xf numFmtId="0" fontId="16" fillId="13" borderId="56" xfId="2" applyFont="1" applyFill="1" applyBorder="1" applyAlignment="1">
      <alignment horizontal="left" vertical="center" wrapText="1"/>
    </xf>
    <xf numFmtId="0" fontId="4" fillId="13" borderId="57" xfId="2" applyFont="1" applyFill="1" applyBorder="1" applyAlignment="1">
      <alignment vertical="center"/>
    </xf>
    <xf numFmtId="0" fontId="16" fillId="13" borderId="58" xfId="2" applyFont="1" applyFill="1" applyBorder="1" applyAlignment="1">
      <alignment horizontal="center" vertical="center" wrapText="1"/>
    </xf>
    <xf numFmtId="0" fontId="30" fillId="13" borderId="58" xfId="2" applyFont="1" applyFill="1" applyBorder="1" applyAlignment="1">
      <alignment horizontal="center" vertical="center" wrapText="1"/>
    </xf>
    <xf numFmtId="0" fontId="16" fillId="13" borderId="59" xfId="2" applyFont="1" applyFill="1" applyBorder="1" applyAlignment="1">
      <alignment horizontal="left" vertical="center" wrapText="1"/>
    </xf>
    <xf numFmtId="0" fontId="16" fillId="13" borderId="58" xfId="2" applyFont="1" applyFill="1" applyBorder="1" applyAlignment="1">
      <alignment horizontal="left" vertical="center" wrapText="1"/>
    </xf>
    <xf numFmtId="0" fontId="17" fillId="0" borderId="14" xfId="2" applyFont="1" applyBorder="1" applyAlignment="1">
      <alignment horizontal="center" vertical="center" wrapText="1"/>
    </xf>
    <xf numFmtId="0" fontId="0" fillId="2" borderId="0" xfId="0" applyFill="1"/>
    <xf numFmtId="0" fontId="48" fillId="2" borderId="0" xfId="0" applyFont="1" applyFill="1"/>
    <xf numFmtId="1" fontId="40" fillId="2" borderId="13" xfId="0" applyNumberFormat="1" applyFont="1" applyFill="1" applyBorder="1" applyAlignment="1">
      <alignment horizontal="center" vertical="center" wrapText="1"/>
    </xf>
    <xf numFmtId="0" fontId="51" fillId="0" borderId="0" xfId="1" applyFont="1" applyAlignment="1">
      <alignment vertical="center"/>
    </xf>
    <xf numFmtId="0" fontId="52" fillId="8" borderId="21" xfId="2" applyFont="1" applyFill="1" applyBorder="1" applyAlignment="1">
      <alignment horizontal="left" vertical="center"/>
    </xf>
    <xf numFmtId="0" fontId="53" fillId="3" borderId="3" xfId="2" applyFont="1" applyFill="1" applyBorder="1" applyAlignment="1">
      <alignment horizontal="center" vertical="center" wrapText="1"/>
    </xf>
    <xf numFmtId="0" fontId="54" fillId="0" borderId="0" xfId="1" applyFont="1" applyAlignment="1">
      <alignment horizontal="left" vertical="center"/>
    </xf>
    <xf numFmtId="0" fontId="27" fillId="14" borderId="1" xfId="2" applyFont="1" applyFill="1" applyBorder="1" applyAlignment="1" applyProtection="1">
      <alignment horizontal="center" vertical="center" wrapText="1"/>
      <protection locked="0"/>
    </xf>
    <xf numFmtId="0" fontId="15" fillId="14" borderId="1" xfId="2" applyFont="1" applyFill="1" applyBorder="1" applyAlignment="1" applyProtection="1">
      <alignment horizontal="left" vertical="center" wrapText="1"/>
      <protection locked="0"/>
    </xf>
    <xf numFmtId="0" fontId="27" fillId="14" borderId="0" xfId="2" applyFont="1" applyFill="1" applyAlignment="1" applyProtection="1">
      <alignment horizontal="center" vertical="center" wrapText="1"/>
      <protection locked="0"/>
    </xf>
    <xf numFmtId="0" fontId="27" fillId="14" borderId="14" xfId="2" applyFont="1" applyFill="1" applyBorder="1" applyAlignment="1" applyProtection="1">
      <alignment horizontal="center" vertical="center" wrapText="1"/>
      <protection locked="0"/>
    </xf>
    <xf numFmtId="0" fontId="27" fillId="14" borderId="26" xfId="2" applyFont="1" applyFill="1" applyBorder="1" applyAlignment="1" applyProtection="1">
      <alignment horizontal="center" vertical="center" wrapText="1"/>
      <protection locked="0"/>
    </xf>
    <xf numFmtId="0" fontId="27" fillId="14" borderId="1" xfId="2" applyFont="1" applyFill="1" applyBorder="1" applyAlignment="1" applyProtection="1">
      <alignment horizontal="left" vertical="center" wrapText="1"/>
      <protection locked="0"/>
    </xf>
    <xf numFmtId="0" fontId="55" fillId="0" borderId="1" xfId="2" applyFont="1" applyBorder="1" applyAlignment="1">
      <alignment horizontal="left" vertical="center" wrapText="1"/>
    </xf>
    <xf numFmtId="1" fontId="20" fillId="0" borderId="13" xfId="0" applyNumberFormat="1" applyFont="1" applyBorder="1" applyAlignment="1">
      <alignment horizontal="center" vertical="center"/>
    </xf>
    <xf numFmtId="0" fontId="27" fillId="0" borderId="14" xfId="2" applyFont="1" applyBorder="1" applyAlignment="1" applyProtection="1">
      <alignment horizontal="center" vertical="center" wrapText="1"/>
      <protection locked="0"/>
    </xf>
    <xf numFmtId="49" fontId="31" fillId="0" borderId="13" xfId="0" applyNumberFormat="1" applyFont="1" applyBorder="1"/>
    <xf numFmtId="0" fontId="41" fillId="2" borderId="60" xfId="0" applyFont="1" applyFill="1" applyBorder="1" applyAlignment="1">
      <alignment horizontal="center" vertical="center"/>
    </xf>
    <xf numFmtId="0" fontId="41" fillId="2" borderId="61" xfId="0" applyFont="1" applyFill="1" applyBorder="1" applyAlignment="1">
      <alignment horizontal="center" vertical="center"/>
    </xf>
    <xf numFmtId="0" fontId="41" fillId="2" borderId="62" xfId="0" applyFont="1" applyFill="1" applyBorder="1" applyAlignment="1">
      <alignment horizontal="center" vertical="center"/>
    </xf>
    <xf numFmtId="1" fontId="40" fillId="2" borderId="66" xfId="0" applyNumberFormat="1" applyFont="1" applyFill="1" applyBorder="1" applyAlignment="1">
      <alignment horizontal="left" vertical="center"/>
    </xf>
    <xf numFmtId="1" fontId="40" fillId="2" borderId="28" xfId="0" applyNumberFormat="1" applyFont="1" applyFill="1" applyBorder="1" applyAlignment="1">
      <alignment horizontal="left" vertical="center"/>
    </xf>
    <xf numFmtId="0" fontId="45" fillId="2" borderId="60" xfId="0" applyFont="1" applyFill="1" applyBorder="1" applyAlignment="1">
      <alignment horizontal="center" vertical="center"/>
    </xf>
    <xf numFmtId="0" fontId="45" fillId="2" borderId="61" xfId="0" applyFont="1" applyFill="1" applyBorder="1" applyAlignment="1">
      <alignment horizontal="center" vertical="center"/>
    </xf>
    <xf numFmtId="0" fontId="45" fillId="2" borderId="62" xfId="0" applyFont="1" applyFill="1" applyBorder="1" applyAlignment="1">
      <alignment horizontal="center" vertical="center"/>
    </xf>
    <xf numFmtId="0" fontId="42" fillId="2" borderId="60" xfId="0" applyFont="1" applyFill="1" applyBorder="1" applyAlignment="1">
      <alignment horizontal="center" vertical="center"/>
    </xf>
    <xf numFmtId="0" fontId="42" fillId="2" borderId="61" xfId="0" applyFont="1" applyFill="1" applyBorder="1" applyAlignment="1">
      <alignment horizontal="center" vertical="center"/>
    </xf>
    <xf numFmtId="0" fontId="42" fillId="2" borderId="62" xfId="0" applyFont="1" applyFill="1" applyBorder="1" applyAlignment="1">
      <alignment horizontal="center" vertical="center"/>
    </xf>
    <xf numFmtId="0" fontId="40" fillId="2" borderId="60" xfId="0" applyFont="1" applyFill="1" applyBorder="1" applyAlignment="1">
      <alignment horizontal="center" vertical="center" wrapText="1"/>
    </xf>
    <xf numFmtId="0" fontId="40" fillId="2" borderId="62" xfId="0" applyFont="1" applyFill="1" applyBorder="1" applyAlignment="1">
      <alignment horizontal="center" vertical="center" wrapText="1"/>
    </xf>
    <xf numFmtId="0" fontId="40" fillId="2" borderId="27" xfId="0" applyFont="1" applyFill="1" applyBorder="1" applyAlignment="1">
      <alignment horizontal="center" vertical="center" wrapText="1"/>
    </xf>
    <xf numFmtId="0" fontId="40" fillId="2" borderId="28" xfId="0" applyFont="1" applyFill="1" applyBorder="1" applyAlignment="1">
      <alignment horizontal="center" vertical="center" wrapText="1"/>
    </xf>
    <xf numFmtId="0" fontId="40" fillId="2" borderId="27" xfId="0" applyFont="1" applyFill="1" applyBorder="1" applyAlignment="1">
      <alignment horizontal="center" vertical="center"/>
    </xf>
    <xf numFmtId="0" fontId="40" fillId="2" borderId="66" xfId="0" applyFont="1" applyFill="1" applyBorder="1" applyAlignment="1">
      <alignment horizontal="center" vertical="center"/>
    </xf>
    <xf numFmtId="0" fontId="40" fillId="2" borderId="28" xfId="0" applyFont="1" applyFill="1" applyBorder="1" applyAlignment="1">
      <alignment horizontal="center" vertical="center"/>
    </xf>
    <xf numFmtId="0" fontId="40" fillId="2" borderId="13" xfId="0" applyFont="1" applyFill="1" applyBorder="1" applyAlignment="1">
      <alignment horizontal="center" vertical="center" wrapText="1"/>
    </xf>
    <xf numFmtId="0" fontId="44" fillId="2" borderId="60" xfId="0" applyFont="1" applyFill="1" applyBorder="1" applyAlignment="1">
      <alignment horizontal="center" vertical="center"/>
    </xf>
    <xf numFmtId="0" fontId="44" fillId="2" borderId="61" xfId="0" applyFont="1" applyFill="1" applyBorder="1" applyAlignment="1">
      <alignment horizontal="center" vertical="center"/>
    </xf>
    <xf numFmtId="0" fontId="44" fillId="2" borderId="62" xfId="0" applyFont="1" applyFill="1" applyBorder="1" applyAlignment="1">
      <alignment horizontal="center" vertical="center"/>
    </xf>
    <xf numFmtId="0" fontId="43" fillId="2" borderId="60" xfId="0" applyFont="1" applyFill="1" applyBorder="1" applyAlignment="1">
      <alignment horizontal="center" vertical="center"/>
    </xf>
    <xf numFmtId="0" fontId="43" fillId="2" borderId="61" xfId="0" applyFont="1" applyFill="1" applyBorder="1" applyAlignment="1">
      <alignment horizontal="center" vertical="center"/>
    </xf>
    <xf numFmtId="0" fontId="43" fillId="2" borderId="62" xfId="0" applyFont="1" applyFill="1" applyBorder="1" applyAlignment="1">
      <alignment horizontal="center" vertical="center"/>
    </xf>
    <xf numFmtId="0" fontId="23" fillId="0" borderId="0" xfId="2" applyFont="1" applyAlignment="1">
      <alignment horizontal="left" vertical="center"/>
    </xf>
    <xf numFmtId="0" fontId="16" fillId="3" borderId="6" xfId="2" applyFont="1" applyFill="1" applyBorder="1" applyAlignment="1">
      <alignment horizontal="left" vertical="center" wrapText="1"/>
    </xf>
    <xf numFmtId="0" fontId="0" fillId="3" borderId="6" xfId="0" applyFill="1" applyBorder="1" applyAlignment="1">
      <alignment vertical="center"/>
    </xf>
    <xf numFmtId="0" fontId="15" fillId="3" borderId="0" xfId="2" applyFont="1" applyFill="1" applyAlignment="1">
      <alignment horizontal="left" vertical="center" wrapText="1"/>
    </xf>
    <xf numFmtId="0" fontId="0" fillId="3" borderId="0" xfId="0" applyFill="1" applyAlignment="1">
      <alignment vertical="center"/>
    </xf>
    <xf numFmtId="0" fontId="16" fillId="3" borderId="11" xfId="2" applyFont="1" applyFill="1" applyBorder="1" applyAlignment="1">
      <alignment horizontal="left" vertical="center" wrapText="1"/>
    </xf>
    <xf numFmtId="0" fontId="0" fillId="3" borderId="11" xfId="0" applyFill="1" applyBorder="1" applyAlignment="1">
      <alignment vertical="center"/>
    </xf>
    <xf numFmtId="0" fontId="16" fillId="3" borderId="3" xfId="2" applyFont="1" applyFill="1" applyBorder="1" applyAlignment="1">
      <alignment horizontal="left" vertical="center" wrapText="1"/>
    </xf>
    <xf numFmtId="0" fontId="0" fillId="3" borderId="3" xfId="0" applyFill="1" applyBorder="1" applyAlignment="1">
      <alignment vertical="center"/>
    </xf>
    <xf numFmtId="0" fontId="16" fillId="3" borderId="0" xfId="2" applyFont="1" applyFill="1" applyAlignment="1">
      <alignment horizontal="left" vertical="center" wrapText="1"/>
    </xf>
    <xf numFmtId="0" fontId="49" fillId="3" borderId="3" xfId="2" applyFont="1" applyFill="1" applyBorder="1" applyAlignment="1">
      <alignment horizontal="left" vertical="center" wrapText="1"/>
    </xf>
    <xf numFmtId="0" fontId="50" fillId="3" borderId="3" xfId="0" applyFont="1" applyFill="1" applyBorder="1" applyAlignment="1">
      <alignment vertical="center"/>
    </xf>
    <xf numFmtId="0" fontId="15" fillId="3" borderId="6" xfId="2" applyFont="1" applyFill="1" applyBorder="1" applyAlignment="1">
      <alignment horizontal="left" vertical="center" wrapText="1"/>
    </xf>
    <xf numFmtId="0" fontId="16" fillId="6" borderId="24" xfId="2" applyFont="1" applyFill="1" applyBorder="1" applyAlignment="1">
      <alignment horizontal="left" vertical="center" wrapText="1"/>
    </xf>
    <xf numFmtId="0" fontId="0" fillId="6" borderId="24" xfId="0" applyFill="1" applyBorder="1" applyAlignment="1">
      <alignment vertical="center"/>
    </xf>
    <xf numFmtId="0" fontId="26" fillId="0" borderId="0" xfId="2" applyFont="1" applyAlignment="1">
      <alignment horizontal="left" vertical="center"/>
    </xf>
    <xf numFmtId="0" fontId="15" fillId="6" borderId="16" xfId="2" applyFont="1" applyFill="1" applyBorder="1" applyAlignment="1">
      <alignment horizontal="left" vertical="center" wrapText="1"/>
    </xf>
    <xf numFmtId="0" fontId="0" fillId="6" borderId="16" xfId="0" applyFill="1" applyBorder="1" applyAlignment="1">
      <alignment vertical="center"/>
    </xf>
    <xf numFmtId="0" fontId="15" fillId="6" borderId="0" xfId="2" applyFont="1" applyFill="1" applyAlignment="1">
      <alignment horizontal="left" vertical="center" wrapText="1"/>
    </xf>
    <xf numFmtId="0" fontId="0" fillId="6" borderId="0" xfId="0" applyFill="1" applyAlignment="1">
      <alignment vertical="center"/>
    </xf>
    <xf numFmtId="0" fontId="16" fillId="6" borderId="21" xfId="2" applyFont="1" applyFill="1" applyBorder="1" applyAlignment="1">
      <alignment horizontal="left" vertical="center" wrapText="1"/>
    </xf>
    <xf numFmtId="0" fontId="0" fillId="6" borderId="21" xfId="0" applyFill="1" applyBorder="1" applyAlignment="1">
      <alignment vertical="center"/>
    </xf>
    <xf numFmtId="0" fontId="16" fillId="6" borderId="0" xfId="2" applyFont="1" applyFill="1" applyAlignment="1">
      <alignment horizontal="left" vertical="center" wrapText="1"/>
    </xf>
    <xf numFmtId="0" fontId="16" fillId="9" borderId="30" xfId="2" applyFont="1" applyFill="1" applyBorder="1" applyAlignment="1">
      <alignment horizontal="left" vertical="center" wrapText="1"/>
    </xf>
    <xf numFmtId="0" fontId="0" fillId="9" borderId="30" xfId="0" applyFill="1" applyBorder="1" applyAlignment="1">
      <alignment vertical="center"/>
    </xf>
    <xf numFmtId="0" fontId="34" fillId="0" borderId="0" xfId="2" applyFont="1" applyAlignment="1">
      <alignment horizontal="left" vertical="center"/>
    </xf>
    <xf numFmtId="0" fontId="16" fillId="9" borderId="16" xfId="2" applyFont="1" applyFill="1" applyBorder="1" applyAlignment="1">
      <alignment horizontal="left" vertical="center" wrapText="1"/>
    </xf>
    <xf numFmtId="0" fontId="0" fillId="9" borderId="16" xfId="0" applyFill="1" applyBorder="1" applyAlignment="1">
      <alignment vertical="center"/>
    </xf>
    <xf numFmtId="0" fontId="16" fillId="9" borderId="0" xfId="2" applyFont="1" applyFill="1" applyAlignment="1">
      <alignment horizontal="left" vertical="center" wrapText="1"/>
    </xf>
    <xf numFmtId="0" fontId="0" fillId="9" borderId="0" xfId="0" applyFill="1" applyAlignment="1">
      <alignment vertical="center"/>
    </xf>
    <xf numFmtId="0" fontId="15" fillId="9" borderId="0" xfId="2" applyFont="1" applyFill="1" applyAlignment="1">
      <alignment horizontal="left" vertical="center" wrapText="1"/>
    </xf>
    <xf numFmtId="0" fontId="16" fillId="9" borderId="21" xfId="2" applyFont="1" applyFill="1" applyBorder="1" applyAlignment="1">
      <alignment horizontal="left" vertical="center" wrapText="1"/>
    </xf>
    <xf numFmtId="0" fontId="0" fillId="9" borderId="21" xfId="0" applyFill="1" applyBorder="1" applyAlignment="1">
      <alignment vertical="center"/>
    </xf>
    <xf numFmtId="0" fontId="16" fillId="9" borderId="24" xfId="2" applyFont="1" applyFill="1" applyBorder="1" applyAlignment="1">
      <alignment horizontal="left" vertical="center" wrapText="1"/>
    </xf>
    <xf numFmtId="0" fontId="0" fillId="9" borderId="24" xfId="0" applyFill="1" applyBorder="1" applyAlignment="1">
      <alignment vertical="center"/>
    </xf>
    <xf numFmtId="0" fontId="16" fillId="11" borderId="36" xfId="2" applyFont="1" applyFill="1" applyBorder="1" applyAlignment="1">
      <alignment horizontal="left" vertical="center" wrapText="1"/>
    </xf>
    <xf numFmtId="0" fontId="0" fillId="11" borderId="36" xfId="0" applyFill="1" applyBorder="1" applyAlignment="1">
      <alignment vertical="center"/>
    </xf>
    <xf numFmtId="0" fontId="37" fillId="0" borderId="0" xfId="2" applyFont="1" applyAlignment="1">
      <alignment horizontal="left" vertical="center"/>
    </xf>
    <xf numFmtId="0" fontId="16" fillId="11" borderId="0" xfId="2" applyFont="1" applyFill="1" applyAlignment="1">
      <alignment horizontal="left" vertical="center" wrapText="1"/>
    </xf>
    <xf numFmtId="0" fontId="0" fillId="11" borderId="0" xfId="0" applyFill="1" applyAlignment="1">
      <alignment vertical="center"/>
    </xf>
    <xf numFmtId="0" fontId="15" fillId="11" borderId="0" xfId="2" applyFont="1" applyFill="1" applyAlignment="1">
      <alignment horizontal="left" vertical="center" wrapText="1"/>
    </xf>
    <xf numFmtId="0" fontId="16" fillId="11" borderId="41" xfId="2" applyFont="1" applyFill="1" applyBorder="1" applyAlignment="1">
      <alignment horizontal="left" vertical="center" wrapText="1"/>
    </xf>
    <xf numFmtId="0" fontId="0" fillId="11" borderId="41" xfId="0" applyFill="1" applyBorder="1" applyAlignment="1">
      <alignment vertical="center"/>
    </xf>
    <xf numFmtId="0" fontId="16" fillId="11" borderId="44" xfId="2" applyFont="1" applyFill="1" applyBorder="1" applyAlignment="1">
      <alignment horizontal="left" vertical="center" wrapText="1"/>
    </xf>
    <xf numFmtId="0" fontId="0" fillId="11" borderId="44" xfId="0" applyFill="1" applyBorder="1" applyAlignment="1">
      <alignment vertical="center"/>
    </xf>
    <xf numFmtId="0" fontId="49" fillId="11" borderId="41" xfId="2" applyFont="1" applyFill="1" applyBorder="1" applyAlignment="1">
      <alignment horizontal="left" vertical="center" wrapText="1"/>
    </xf>
    <xf numFmtId="0" fontId="50" fillId="11" borderId="41" xfId="0" applyFont="1" applyFill="1" applyBorder="1" applyAlignment="1">
      <alignment vertical="center"/>
    </xf>
    <xf numFmtId="0" fontId="16" fillId="13" borderId="58" xfId="2" applyFont="1" applyFill="1" applyBorder="1" applyAlignment="1">
      <alignment horizontal="left" vertical="center" wrapText="1"/>
    </xf>
    <xf numFmtId="0" fontId="0" fillId="13" borderId="58" xfId="0" applyFill="1" applyBorder="1" applyAlignment="1">
      <alignment vertical="center"/>
    </xf>
    <xf numFmtId="0" fontId="39" fillId="0" borderId="0" xfId="2" applyFont="1" applyAlignment="1">
      <alignment horizontal="left" vertical="center"/>
    </xf>
    <xf numFmtId="0" fontId="16" fillId="13" borderId="50" xfId="2" applyFont="1" applyFill="1" applyBorder="1" applyAlignment="1">
      <alignment horizontal="left" vertical="center" wrapText="1"/>
    </xf>
    <xf numFmtId="0" fontId="0" fillId="13" borderId="50" xfId="0" applyFill="1" applyBorder="1" applyAlignment="1">
      <alignment vertical="center"/>
    </xf>
    <xf numFmtId="0" fontId="16" fillId="13" borderId="0" xfId="2" applyFont="1" applyFill="1" applyAlignment="1">
      <alignment horizontal="left" vertical="center" wrapText="1"/>
    </xf>
    <xf numFmtId="0" fontId="0" fillId="13" borderId="0" xfId="0" applyFill="1" applyAlignment="1">
      <alignment vertical="center"/>
    </xf>
    <xf numFmtId="0" fontId="15" fillId="13" borderId="0" xfId="2" applyFont="1" applyFill="1" applyAlignment="1">
      <alignment horizontal="left" vertical="center" wrapText="1"/>
    </xf>
    <xf numFmtId="0" fontId="16" fillId="13" borderId="55" xfId="2" applyFont="1" applyFill="1" applyBorder="1" applyAlignment="1">
      <alignment horizontal="left" vertical="center" wrapText="1"/>
    </xf>
    <xf numFmtId="0" fontId="0" fillId="13" borderId="55" xfId="0" applyFill="1" applyBorder="1" applyAlignment="1">
      <alignment vertical="center"/>
    </xf>
  </cellXfs>
  <cellStyles count="30">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3" builtinId="9" hidden="1"/>
    <cellStyle name="Followed Hyperlink" xfId="24" builtinId="9" hidden="1"/>
    <cellStyle name="Followed Hyperlink" xfId="25" builtinId="9" hidden="1"/>
    <cellStyle name="Followed Hyperlink" xfId="27" builtinId="9" hidden="1"/>
    <cellStyle name="Followed Hyperlink" xfId="28" builtinId="9" hidden="1"/>
    <cellStyle name="Followed Hyperlink" xfId="29" builtinId="9" hidden="1"/>
    <cellStyle name="Followed Hyperlink" xfId="26" builtinId="9" hidden="1"/>
    <cellStyle name="Followed Hyperlink" xfId="22" builtinId="9" hidden="1"/>
    <cellStyle name="Followed Hyperlink" xfId="18" builtinId="9" hidden="1"/>
    <cellStyle name="Followed Hyperlink" xfId="14" builtinId="9" hidden="1"/>
    <cellStyle name="Followed Hyperlink" xfId="8" builtinId="9" hidden="1"/>
    <cellStyle name="Followed Hyperlink" xfId="9" builtinId="9" hidden="1"/>
    <cellStyle name="Followed Hyperlink" xfId="11" builtinId="9" hidden="1"/>
    <cellStyle name="Followed Hyperlink" xfId="12" builtinId="9" hidden="1"/>
    <cellStyle name="Followed Hyperlink" xfId="13" builtinId="9" hidden="1"/>
    <cellStyle name="Followed Hyperlink" xfId="10" builtinId="9" hidden="1"/>
    <cellStyle name="Followed Hyperlink" xfId="6" builtinId="9" hidden="1"/>
    <cellStyle name="Followed Hyperlink" xfId="7" builtinId="9" hidden="1"/>
    <cellStyle name="Followed Hyperlink" xfId="5" builtinId="9" hidden="1"/>
    <cellStyle name="Followed Hyperlink" xfId="4" builtinId="9" hidden="1"/>
    <cellStyle name="Hyperlink" xfId="3" builtinId="8"/>
    <cellStyle name="Normal" xfId="0" builtinId="0"/>
    <cellStyle name="Normal 2" xfId="1" xr:uid="{00000000-0005-0000-0000-00001C000000}"/>
    <cellStyle name="Normal 3" xfId="2" xr:uid="{00000000-0005-0000-0000-00001D000000}"/>
  </cellStyles>
  <dxfs count="172">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ont>
        <color theme="0" tint="-0.249977111117893"/>
      </font>
      <fill>
        <patternFill patternType="solid">
          <fgColor indexed="64"/>
          <bgColor theme="0" tint="-0.14999847407452621"/>
        </patternFill>
      </fill>
    </dxf>
    <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ill>
        <patternFill>
          <bgColor rgb="FF0093C9"/>
        </patternFill>
      </fill>
    </dxf>
    <dxf>
      <fill>
        <patternFill>
          <bgColor rgb="FF0093C9"/>
        </patternFill>
      </fill>
    </dxf>
    <dxf>
      <fill>
        <patternFill>
          <bgColor rgb="FF4B9C2D"/>
        </patternFill>
      </fill>
    </dxf>
    <dxf>
      <fill>
        <patternFill>
          <bgColor rgb="FF83603F"/>
        </patternFill>
      </fill>
    </dxf>
    <dxf>
      <fill>
        <patternFill>
          <bgColor rgb="FF83603F"/>
        </patternFill>
      </fill>
    </dxf>
    <dxf>
      <fill>
        <patternFill>
          <bgColor rgb="FF786E63"/>
        </patternFill>
      </fill>
    </dxf>
    <dxf>
      <fill>
        <patternFill>
          <bgColor rgb="FF786E63"/>
        </patternFill>
      </fill>
    </dxf>
    <dxf>
      <fill>
        <patternFill>
          <bgColor rgb="FF786E63"/>
        </patternFill>
      </fill>
    </dxf>
    <dxf>
      <fill>
        <patternFill>
          <bgColor rgb="FFFF671B"/>
        </patternFill>
      </fill>
    </dxf>
    <dxf>
      <fill>
        <patternFill>
          <bgColor rgb="FFFF671B"/>
        </patternFill>
      </fill>
    </dxf>
    <dxf>
      <fill>
        <patternFill>
          <bgColor rgb="FFFF671B"/>
        </patternFill>
      </fill>
    </dxf>
    <dxf>
      <fill>
        <patternFill>
          <bgColor rgb="FFFF671B"/>
        </patternFill>
      </fill>
    </dxf>
    <dxf>
      <fill>
        <patternFill>
          <bgColor rgb="FF33A9D4"/>
        </patternFill>
      </fill>
    </dxf>
    <dxf>
      <fill>
        <patternFill>
          <bgColor rgb="FF6FB057"/>
        </patternFill>
      </fill>
    </dxf>
    <dxf>
      <fill>
        <patternFill>
          <bgColor rgb="FF9C8065"/>
        </patternFill>
      </fill>
    </dxf>
    <dxf>
      <fill>
        <patternFill>
          <bgColor rgb="FF938B82"/>
        </patternFill>
      </fill>
    </dxf>
    <dxf>
      <fill>
        <patternFill>
          <bgColor rgb="FFFF8549"/>
        </patternFill>
      </fill>
    </dxf>
    <dxf>
      <fill>
        <patternFill>
          <bgColor rgb="FF66BEDF"/>
        </patternFill>
      </fill>
    </dxf>
    <dxf>
      <fill>
        <patternFill>
          <bgColor rgb="FF93C480"/>
        </patternFill>
      </fill>
    </dxf>
    <dxf>
      <fill>
        <patternFill>
          <bgColor rgb="FFB5A08C"/>
        </patternFill>
      </fill>
    </dxf>
    <dxf>
      <fill>
        <patternFill>
          <bgColor rgb="FFAEA8A1"/>
        </patternFill>
      </fill>
    </dxf>
    <dxf>
      <fill>
        <patternFill>
          <bgColor rgb="FFFFA476"/>
        </patternFill>
      </fill>
    </dxf>
    <dxf>
      <fill>
        <patternFill>
          <bgColor rgb="FF99D4E9"/>
        </patternFill>
      </fill>
    </dxf>
    <dxf>
      <fill>
        <patternFill>
          <bgColor rgb="FFB7D7AB"/>
        </patternFill>
      </fill>
    </dxf>
    <dxf>
      <fill>
        <patternFill>
          <bgColor rgb="FFCDBFB2"/>
        </patternFill>
      </fill>
    </dxf>
    <dxf>
      <fill>
        <patternFill>
          <bgColor rgb="FFC9C5C1"/>
        </patternFill>
      </fill>
    </dxf>
    <dxf>
      <fill>
        <patternFill>
          <bgColor rgb="FFFFC2A4"/>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CCE9F4"/>
        </patternFill>
      </fill>
    </dxf>
    <dxf>
      <fill>
        <patternFill>
          <bgColor rgb="FFCCE9F4"/>
        </patternFill>
      </fill>
    </dxf>
    <dxf>
      <fill>
        <patternFill>
          <bgColor rgb="FFDBEBD5"/>
        </patternFill>
      </fill>
    </dxf>
    <dxf>
      <fill>
        <patternFill>
          <bgColor rgb="FFDBEBD5"/>
        </patternFill>
      </fill>
    </dxf>
    <dxf>
      <fill>
        <patternFill>
          <bgColor rgb="FFE6DFD8"/>
        </patternFill>
      </fill>
    </dxf>
    <dxf>
      <fill>
        <patternFill>
          <bgColor rgb="FFE4E2E0"/>
        </patternFill>
      </fill>
    </dxf>
    <dxf>
      <fill>
        <patternFill>
          <bgColor rgb="FFFFE1D1"/>
        </patternFill>
      </fill>
    </dxf>
    <dxf>
      <fill>
        <patternFill>
          <bgColor rgb="FFFFE1D1"/>
        </patternFill>
      </fill>
    </dxf>
    <dxf>
      <fill>
        <patternFill>
          <bgColor rgb="FFFFE1D1"/>
        </patternFill>
      </fill>
    </dxf>
  </dxfs>
  <tableStyles count="0" defaultTableStyle="TableStyleMedium9" defaultPivotStyle="PivotStyleMedium4"/>
  <colors>
    <mruColors>
      <color rgb="FFCCE9F4"/>
      <color rgb="FF99D4E9"/>
      <color rgb="FF66BEDF"/>
      <color rgb="FF33A9D4"/>
      <color rgb="FF0093C9"/>
      <color rgb="FFDBEBD5"/>
      <color rgb="FFB7D7AB"/>
      <color rgb="FF93C480"/>
      <color rgb="FF6FB057"/>
      <color rgb="FF4B9C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523895</xdr:colOff>
      <xdr:row>5</xdr:row>
      <xdr:rowOff>509</xdr:rowOff>
    </xdr:from>
    <xdr:to>
      <xdr:col>7</xdr:col>
      <xdr:colOff>588407</xdr:colOff>
      <xdr:row>13</xdr:row>
      <xdr:rowOff>149097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95" y="781559"/>
          <a:ext cx="1283712" cy="1520188"/>
        </a:xfrm>
        <a:prstGeom prst="rect">
          <a:avLst/>
        </a:prstGeom>
      </xdr:spPr>
    </xdr:pic>
    <xdr:clientData/>
  </xdr:twoCellAnchor>
  <xdr:twoCellAnchor>
    <xdr:from>
      <xdr:col>2</xdr:col>
      <xdr:colOff>2</xdr:colOff>
      <xdr:row>14</xdr:row>
      <xdr:rowOff>59265</xdr:rowOff>
    </xdr:from>
    <xdr:to>
      <xdr:col>11</xdr:col>
      <xdr:colOff>474346</xdr:colOff>
      <xdr:row>52</xdr:row>
      <xdr:rowOff>142874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14302" y="2383365"/>
          <a:ext cx="5960744" cy="6598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rIns="91440" rtlCol="0" anchor="t"/>
        <a:lstStyle/>
        <a:p>
          <a:r>
            <a:rPr lang="en-US" sz="900" b="1">
              <a:latin typeface="Open Sans ExtraBold" panose="020B0906030804020204" pitchFamily="34" charset="0"/>
              <a:ea typeface="Open Sans ExtraBold" panose="020B0906030804020204" pitchFamily="34" charset="0"/>
              <a:cs typeface="Open Sans ExtraBold" panose="020B0906030804020204" pitchFamily="34" charset="0"/>
            </a:rPr>
            <a:t>PURPOSE:</a:t>
          </a:r>
        </a:p>
        <a:p>
          <a:endParaRPr lang="en-US" sz="400" b="1">
            <a:latin typeface="Open Sans Regular"/>
            <a:cs typeface="Open Sans Regular"/>
          </a:endParaRPr>
        </a:p>
        <a:p>
          <a:pPr>
            <a:spcAft>
              <a:spcPts val="600"/>
            </a:spcAft>
          </a:pPr>
          <a:r>
            <a:rPr lang="en-US" sz="900">
              <a:latin typeface="Open Sans Regular"/>
              <a:cs typeface="Open Sans Regular"/>
            </a:rPr>
            <a:t>The Envision v3 Pre-assessment Checklist is intended to support incorporating Envision early in the planning and conceptual design project phases. The purpose of the checklist is to help project teams quickly identify whether they are addressing the full range of sustainability criteria. </a:t>
          </a:r>
        </a:p>
        <a:p>
          <a:pPr>
            <a:spcAft>
              <a:spcPts val="600"/>
            </a:spcAft>
          </a:pPr>
          <a:r>
            <a:rPr lang="en-US" sz="900">
              <a:latin typeface="Open Sans Regular"/>
              <a:cs typeface="Open Sans Regular"/>
            </a:rPr>
            <a:t>The checklist presents the Envision criteria as yes/no questions, and the results are presented as an</a:t>
          </a:r>
          <a:r>
            <a:rPr lang="en-US" sz="900" baseline="0">
              <a:latin typeface="Open Sans Regular"/>
              <a:cs typeface="Open Sans Regular"/>
            </a:rPr>
            <a:t> estimate of the possible score a project may achieve</a:t>
          </a:r>
          <a:r>
            <a:rPr lang="en-US" sz="900">
              <a:latin typeface="Open Sans Regular"/>
              <a:cs typeface="Open Sans Regular"/>
            </a:rPr>
            <a:t>. Projects that address few of the assessment questions may have the opportunity for improvement by revisiting their project objectives and expanding their sustainability considerations to address more criteria. Projects that address many of the assessment criteria demonstrate that their approach was sufficiently broad. These projects may be good candidates for setting more detailed performance goals and objectives using the Envision guidance manual.</a:t>
          </a:r>
        </a:p>
        <a:p>
          <a:pPr>
            <a:spcAft>
              <a:spcPts val="600"/>
            </a:spcAft>
          </a:pPr>
          <a:r>
            <a:rPr lang="en-US" sz="900">
              <a:latin typeface="Open Sans Regular"/>
              <a:cs typeface="Open Sans Regular"/>
            </a:rPr>
            <a:t>This evaluation can be used as the foundation for a future Envision rating system assessment but does not replace the rating system assessment. Users should reference the Envision v3</a:t>
          </a:r>
          <a:r>
            <a:rPr lang="en-US" sz="900" baseline="0">
              <a:latin typeface="Open Sans Regular"/>
              <a:cs typeface="Open Sans Regular"/>
            </a:rPr>
            <a:t> Guidance Manual when completing the pre-assessment checklist. </a:t>
          </a:r>
        </a:p>
        <a:p>
          <a:r>
            <a:rPr lang="en-US" sz="900" b="1">
              <a:latin typeface="Open Sans ExtraBold" panose="020B0906030804020204" pitchFamily="34" charset="0"/>
              <a:ea typeface="Open Sans ExtraBold" panose="020B0906030804020204" pitchFamily="34" charset="0"/>
              <a:cs typeface="Open Sans ExtraBold" panose="020B0906030804020204" pitchFamily="34" charset="0"/>
            </a:rPr>
            <a:t>ORGANIZATION:</a:t>
          </a:r>
        </a:p>
        <a:p>
          <a:endParaRPr lang="en-US" sz="300" b="1">
            <a:latin typeface="Open Sans Regular"/>
            <a:cs typeface="Open Sans Regular"/>
          </a:endParaRPr>
        </a:p>
        <a:p>
          <a:pPr>
            <a:spcAft>
              <a:spcPts val="600"/>
            </a:spcAft>
          </a:pPr>
          <a:r>
            <a:rPr lang="en-US" sz="900">
              <a:latin typeface="Open Sans Regular"/>
              <a:cs typeface="Open Sans Regular"/>
            </a:rPr>
            <a:t>Each category tabs list the Envision credits</a:t>
          </a:r>
          <a:r>
            <a:rPr lang="en-US" sz="900" baseline="0">
              <a:latin typeface="Open Sans Regular"/>
              <a:cs typeface="Open Sans Regular"/>
            </a:rPr>
            <a:t> and</a:t>
          </a:r>
          <a:r>
            <a:rPr lang="en-US" sz="900">
              <a:latin typeface="Open Sans Regular"/>
              <a:cs typeface="Open Sans Regular"/>
            </a:rPr>
            <a:t> assessment questions. There are five tabs, one for each of the Envision categories: Quality of Life, Leadership, Resource Allocation, Natural World, and Climate and Resilience. There are a total of 59 credits (not</a:t>
          </a:r>
          <a:r>
            <a:rPr lang="en-US" sz="900" baseline="0">
              <a:latin typeface="Open Sans Regular"/>
              <a:cs typeface="Open Sans Regular"/>
            </a:rPr>
            <a:t> including innovation credits)</a:t>
          </a:r>
          <a:r>
            <a:rPr lang="en-US" sz="900">
              <a:latin typeface="Open Sans Regular"/>
              <a:cs typeface="Open Sans Regular"/>
            </a:rPr>
            <a:t>. Each credit contains an intent, metric, and assessment questions. The intent describes the purpose of the credit and how it contributes to sustainability. The metric explains how the project team can be successful in meeting the intent of the credit. </a:t>
          </a:r>
        </a:p>
        <a:p>
          <a:pPr>
            <a:spcAft>
              <a:spcPts val="600"/>
            </a:spcAft>
          </a:pPr>
          <a:r>
            <a:rPr lang="en-US" sz="900">
              <a:latin typeface="Open Sans Regular"/>
              <a:cs typeface="Open Sans Regular"/>
            </a:rPr>
            <a:t>Users are</a:t>
          </a:r>
          <a:r>
            <a:rPr lang="en-US" sz="900" baseline="0">
              <a:latin typeface="Open Sans Regular"/>
              <a:cs typeface="Open Sans Regular"/>
            </a:rPr>
            <a:t> first asked to identify whether a credit is applicable or not by selecting 'yes' or 'no'. The points associated with credits deemed not applicable by selecting 'no' are set as zero. For those credits deemed to be applicable by selecting 'yes' users are to address the subsequent assessment questions. </a:t>
          </a:r>
          <a:r>
            <a:rPr lang="en-US" sz="900">
              <a:latin typeface="Open Sans Regular"/>
              <a:cs typeface="Open Sans Regular"/>
            </a:rPr>
            <a:t>The</a:t>
          </a:r>
          <a:r>
            <a:rPr lang="en-US" sz="900" baseline="0">
              <a:latin typeface="Open Sans Regular"/>
              <a:cs typeface="Open Sans Regular"/>
            </a:rPr>
            <a:t> assessment</a:t>
          </a:r>
          <a:r>
            <a:rPr lang="en-US" sz="900">
              <a:latin typeface="Open Sans Regular"/>
              <a:cs typeface="Open Sans Regular"/>
            </a:rPr>
            <a:t> questions determine if the project meets the intent for that credit. The questions require</a:t>
          </a:r>
          <a:r>
            <a:rPr lang="en-US" sz="900" baseline="0">
              <a:latin typeface="Open Sans Regular"/>
              <a:cs typeface="Open Sans Regular"/>
            </a:rPr>
            <a:t> users to select '</a:t>
          </a:r>
          <a:r>
            <a:rPr lang="en-US" sz="900">
              <a:latin typeface="Open Sans Regular"/>
              <a:cs typeface="Open Sans Regular"/>
            </a:rPr>
            <a:t>yes' or 'no'</a:t>
          </a:r>
          <a:r>
            <a:rPr lang="en-US" sz="900" baseline="0">
              <a:latin typeface="Open Sans Regular"/>
              <a:cs typeface="Open Sans Regular"/>
            </a:rPr>
            <a:t> from a drop down menu. Some questions will also require a user to select an additional response from a drop down list below the specific question - these questions have the prompt 'select from one of the following'</a:t>
          </a:r>
          <a:r>
            <a:rPr lang="en-US" sz="900">
              <a:latin typeface="Open Sans Regular"/>
              <a:cs typeface="Open Sans Regular"/>
            </a:rPr>
            <a:t>. Questions left</a:t>
          </a:r>
          <a:r>
            <a:rPr lang="en-US" sz="900" baseline="0">
              <a:latin typeface="Open Sans Regular"/>
              <a:cs typeface="Open Sans Regular"/>
            </a:rPr>
            <a:t> unaddressed are assumed to be answered as 'no'. </a:t>
          </a:r>
          <a:r>
            <a:rPr lang="en-US" sz="900">
              <a:latin typeface="Open Sans Regular"/>
              <a:cs typeface="Open Sans Regular"/>
            </a:rPr>
            <a:t> </a:t>
          </a:r>
        </a:p>
        <a:p>
          <a:pPr>
            <a:spcAft>
              <a:spcPts val="600"/>
            </a:spcAft>
          </a:pPr>
          <a:r>
            <a:rPr lang="en-US" sz="900">
              <a:latin typeface="Open Sans Regular"/>
              <a:cs typeface="Open Sans Regular"/>
            </a:rPr>
            <a:t>As each question</a:t>
          </a:r>
          <a:r>
            <a:rPr lang="en-US" sz="900" baseline="0">
              <a:latin typeface="Open Sans Regular"/>
              <a:cs typeface="Open Sans Regular"/>
            </a:rPr>
            <a:t> is addressed</a:t>
          </a:r>
          <a:r>
            <a:rPr lang="en-US" sz="900">
              <a:latin typeface="Open Sans Regular"/>
              <a:cs typeface="Open Sans Regular"/>
            </a:rPr>
            <a:t>, the </a:t>
          </a:r>
          <a:r>
            <a:rPr lang="en-US" sz="900" i="1">
              <a:latin typeface="Open Sans Regular"/>
              <a:cs typeface="Open Sans Regular"/>
            </a:rPr>
            <a:t>Results</a:t>
          </a:r>
          <a:r>
            <a:rPr lang="en-US" sz="900">
              <a:latin typeface="Open Sans Regular"/>
              <a:cs typeface="Open Sans Regular"/>
            </a:rPr>
            <a:t> tab is automatically updated. The </a:t>
          </a:r>
          <a:r>
            <a:rPr lang="en-US" sz="900" i="1">
              <a:latin typeface="Open Sans Regular"/>
              <a:cs typeface="Open Sans Regular"/>
            </a:rPr>
            <a:t>Results</a:t>
          </a:r>
          <a:r>
            <a:rPr lang="en-US" sz="900" baseline="0">
              <a:latin typeface="Open Sans Regular"/>
              <a:cs typeface="Open Sans Regular"/>
            </a:rPr>
            <a:t> tab summarizes whether a credit has been assessed, not assessed, or not applicable. It presents the total number of questions answered yes and no, the total score based on the questions addressed, and the total assessed maximum points available based on applicable credits. The </a:t>
          </a:r>
          <a:r>
            <a:rPr lang="en-US" sz="900" i="1" baseline="0">
              <a:latin typeface="Open Sans Regular"/>
              <a:cs typeface="Open Sans Regular"/>
            </a:rPr>
            <a:t>Results</a:t>
          </a:r>
          <a:r>
            <a:rPr lang="en-US" sz="900" baseline="0">
              <a:latin typeface="Open Sans Regular"/>
              <a:cs typeface="Open Sans Regular"/>
            </a:rPr>
            <a:t> tab also includes a total maximum points available summary.</a:t>
          </a:r>
          <a:endParaRPr lang="en-US" sz="900">
            <a:latin typeface="Open Sans Regular"/>
            <a:cs typeface="Open Sans Regular"/>
          </a:endParaRPr>
        </a:p>
        <a:p>
          <a:pPr>
            <a:spcAft>
              <a:spcPts val="600"/>
            </a:spcAft>
          </a:pPr>
          <a:r>
            <a:rPr lang="en-US" sz="900">
              <a:latin typeface="Open Sans Regular"/>
              <a:cs typeface="Open Sans Regular"/>
            </a:rPr>
            <a:t>Note that the Envision v3 Pre-assessment Checklist results do not directly correspond to Envision rating system scores. While the checklist asks whether criteria are being considered, the rating system more deeply evaluates the level of achievement for each credit. The checklist results are not verified by ISI and are not eligible for ISI awards.</a:t>
          </a:r>
        </a:p>
        <a:p>
          <a:pPr>
            <a:spcAft>
              <a:spcPts val="600"/>
            </a:spcAft>
          </a:pPr>
          <a:r>
            <a:rPr lang="en-US" sz="900">
              <a:latin typeface="Open Sans Regular"/>
              <a:cs typeface="Open Sans Regular"/>
            </a:rPr>
            <a:t>For more information</a:t>
          </a:r>
          <a:r>
            <a:rPr lang="en-US" sz="900" baseline="0">
              <a:latin typeface="Open Sans Regular"/>
              <a:cs typeface="Open Sans Regular"/>
            </a:rPr>
            <a:t> about Envision visit:</a:t>
          </a:r>
        </a:p>
        <a:p>
          <a:pPr>
            <a:spcAft>
              <a:spcPts val="600"/>
            </a:spcAft>
          </a:pPr>
          <a:r>
            <a:rPr lang="en-US" sz="900" b="1" baseline="0">
              <a:latin typeface="Open Sans ExtraBold" panose="020B0906030804020204" pitchFamily="34" charset="0"/>
              <a:ea typeface="Open Sans ExtraBold" panose="020B0906030804020204" pitchFamily="34" charset="0"/>
              <a:cs typeface="Open Sans ExtraBold" panose="020B0906030804020204" pitchFamily="34" charset="0"/>
            </a:rPr>
            <a:t>www.sustainableinfrastructure.org</a:t>
          </a:r>
          <a:endParaRPr lang="en-US" sz="900" b="1">
            <a:latin typeface="Open Sans ExtraBold" panose="020B0906030804020204" pitchFamily="34" charset="0"/>
            <a:ea typeface="Open Sans ExtraBold" panose="020B0906030804020204" pitchFamily="34" charset="0"/>
            <a:cs typeface="Open Sans ExtraBold" panose="020B0906030804020204" pitchFamily="34" charset="0"/>
          </a:endParaRPr>
        </a:p>
      </xdr:txBody>
    </xdr:sp>
    <xdr:clientData/>
  </xdr:twoCellAnchor>
  <xdr:twoCellAnchor>
    <xdr:from>
      <xdr:col>2</xdr:col>
      <xdr:colOff>12700</xdr:colOff>
      <xdr:row>1</xdr:row>
      <xdr:rowOff>12700</xdr:rowOff>
    </xdr:from>
    <xdr:to>
      <xdr:col>12</xdr:col>
      <xdr:colOff>0</xdr:colOff>
      <xdr:row>3</xdr:row>
      <xdr:rowOff>12700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2700" y="190500"/>
          <a:ext cx="54737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i="0">
              <a:latin typeface="Open Sans Bold"/>
              <a:cs typeface="Open Sans Bold"/>
            </a:rPr>
            <a:t>Envision</a:t>
          </a:r>
          <a:r>
            <a:rPr lang="en-US" sz="1800" b="1" baseline="30000">
              <a:latin typeface="Open Sans Bold"/>
              <a:cs typeface="Open Sans Bold"/>
            </a:rPr>
            <a:t>®</a:t>
          </a:r>
          <a:r>
            <a:rPr lang="en-US" sz="1800" b="1" baseline="0">
              <a:latin typeface="Open Sans Bold"/>
              <a:cs typeface="Open Sans Bold"/>
            </a:rPr>
            <a:t> v3 </a:t>
          </a:r>
          <a:r>
            <a:rPr lang="en-US" sz="1800" b="1" i="0" baseline="0">
              <a:latin typeface="Open Sans Bold"/>
              <a:cs typeface="Open Sans Bold"/>
            </a:rPr>
            <a:t>Pre-Assessment Checklist</a:t>
          </a:r>
          <a:endParaRPr lang="en-US" sz="1800" b="1" i="0">
            <a:latin typeface="Open Sans Bold"/>
            <a:cs typeface="Open Sans Bold"/>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152367</xdr:colOff>
      <xdr:row>9</xdr:row>
      <xdr:rowOff>51210</xdr:rowOff>
    </xdr:from>
    <xdr:to>
      <xdr:col>2</xdr:col>
      <xdr:colOff>761332</xdr:colOff>
      <xdr:row>12</xdr:row>
      <xdr:rowOff>59129</xdr:rowOff>
    </xdr:to>
    <xdr:pic>
      <xdr:nvPicPr>
        <xdr:cNvPr id="2" name="Picture 1" descr="QL_color.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081" y="1997031"/>
          <a:ext cx="608965" cy="616432"/>
        </a:xfrm>
        <a:prstGeom prst="rect">
          <a:avLst/>
        </a:prstGeom>
      </xdr:spPr>
    </xdr:pic>
    <xdr:clientData/>
  </xdr:twoCellAnchor>
  <xdr:twoCellAnchor editAs="oneCell">
    <xdr:from>
      <xdr:col>2</xdr:col>
      <xdr:colOff>121102</xdr:colOff>
      <xdr:row>23</xdr:row>
      <xdr:rowOff>150980</xdr:rowOff>
    </xdr:from>
    <xdr:to>
      <xdr:col>2</xdr:col>
      <xdr:colOff>798647</xdr:colOff>
      <xdr:row>27</xdr:row>
      <xdr:rowOff>1903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816" y="4750194"/>
          <a:ext cx="677545" cy="667352"/>
        </a:xfrm>
        <a:prstGeom prst="rect">
          <a:avLst/>
        </a:prstGeom>
      </xdr:spPr>
    </xdr:pic>
    <xdr:clientData/>
  </xdr:twoCellAnchor>
  <xdr:twoCellAnchor editAs="oneCell">
    <xdr:from>
      <xdr:col>2</xdr:col>
      <xdr:colOff>156528</xdr:colOff>
      <xdr:row>39</xdr:row>
      <xdr:rowOff>57635</xdr:rowOff>
    </xdr:from>
    <xdr:to>
      <xdr:col>2</xdr:col>
      <xdr:colOff>778828</xdr:colOff>
      <xdr:row>42</xdr:row>
      <xdr:rowOff>39893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4242" y="7718456"/>
          <a:ext cx="618490" cy="594580"/>
        </a:xfrm>
        <a:prstGeom prst="rect">
          <a:avLst/>
        </a:prstGeom>
      </xdr:spPr>
    </xdr:pic>
    <xdr:clientData/>
  </xdr:twoCellAnchor>
  <xdr:twoCellAnchor editAs="oneCell">
    <xdr:from>
      <xdr:col>2</xdr:col>
      <xdr:colOff>184464</xdr:colOff>
      <xdr:row>55</xdr:row>
      <xdr:rowOff>59540</xdr:rowOff>
    </xdr:from>
    <xdr:to>
      <xdr:col>2</xdr:col>
      <xdr:colOff>780094</xdr:colOff>
      <xdr:row>58</xdr:row>
      <xdr:rowOff>60849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2178" y="10781969"/>
          <a:ext cx="605155" cy="609820"/>
        </a:xfrm>
        <a:prstGeom prst="rect">
          <a:avLst/>
        </a:prstGeom>
      </xdr:spPr>
    </xdr:pic>
    <xdr:clientData/>
  </xdr:twoCellAnchor>
  <xdr:twoCellAnchor editAs="oneCell">
    <xdr:from>
      <xdr:col>2</xdr:col>
      <xdr:colOff>179246</xdr:colOff>
      <xdr:row>69</xdr:row>
      <xdr:rowOff>87666</xdr:rowOff>
    </xdr:from>
    <xdr:to>
      <xdr:col>2</xdr:col>
      <xdr:colOff>782496</xdr:colOff>
      <xdr:row>72</xdr:row>
      <xdr:rowOff>56586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96960" y="13463487"/>
          <a:ext cx="607060" cy="585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9</xdr:col>
          <xdr:colOff>152400</xdr:colOff>
          <xdr:row>10</xdr:row>
          <xdr:rowOff>0</xdr:rowOff>
        </xdr:to>
        <xdr:sp macro="" textlink="">
          <xdr:nvSpPr>
            <xdr:cNvPr id="3465" name="Group Box 393" hidden="1">
              <a:extLst>
                <a:ext uri="{63B3BB69-23CF-44E3-9099-C40C66FF867C}">
                  <a14:compatExt spid="_x0000_s3465"/>
                </a:ext>
                <a:ext uri="{FF2B5EF4-FFF2-40B4-BE49-F238E27FC236}">
                  <a16:creationId xmlns:a16="http://schemas.microsoft.com/office/drawing/2014/main" id="{00000000-0008-0000-0300-00008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11</xdr:col>
          <xdr:colOff>142875</xdr:colOff>
          <xdr:row>10</xdr:row>
          <xdr:rowOff>0</xdr:rowOff>
        </xdr:to>
        <xdr:sp macro="" textlink="">
          <xdr:nvSpPr>
            <xdr:cNvPr id="3536" name="Group Box 464" hidden="1">
              <a:extLst>
                <a:ext uri="{63B3BB69-23CF-44E3-9099-C40C66FF867C}">
                  <a14:compatExt spid="_x0000_s3536"/>
                </a:ext>
                <a:ext uri="{FF2B5EF4-FFF2-40B4-BE49-F238E27FC236}">
                  <a16:creationId xmlns:a16="http://schemas.microsoft.com/office/drawing/2014/main" id="{00000000-0008-0000-0300-0000D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11</xdr:col>
          <xdr:colOff>142875</xdr:colOff>
          <xdr:row>10</xdr:row>
          <xdr:rowOff>0</xdr:rowOff>
        </xdr:to>
        <xdr:sp macro="" textlink="">
          <xdr:nvSpPr>
            <xdr:cNvPr id="3565" name="Group Box 493" hidden="1">
              <a:extLst>
                <a:ext uri="{63B3BB69-23CF-44E3-9099-C40C66FF867C}">
                  <a14:compatExt spid="_x0000_s3565"/>
                </a:ext>
                <a:ext uri="{FF2B5EF4-FFF2-40B4-BE49-F238E27FC236}">
                  <a16:creationId xmlns:a16="http://schemas.microsoft.com/office/drawing/2014/main" id="{00000000-0008-0000-0300-0000E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xdr:twoCellAnchor editAs="oneCell">
    <xdr:from>
      <xdr:col>1</xdr:col>
      <xdr:colOff>22412</xdr:colOff>
      <xdr:row>0</xdr:row>
      <xdr:rowOff>1</xdr:rowOff>
    </xdr:from>
    <xdr:to>
      <xdr:col>3</xdr:col>
      <xdr:colOff>250340</xdr:colOff>
      <xdr:row>1</xdr:row>
      <xdr:rowOff>22189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2412" y="1"/>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9</xdr:col>
          <xdr:colOff>142875</xdr:colOff>
          <xdr:row>10</xdr:row>
          <xdr:rowOff>0</xdr:rowOff>
        </xdr:to>
        <xdr:sp macro="" textlink="">
          <xdr:nvSpPr>
            <xdr:cNvPr id="12289" name="Group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10</xdr:col>
          <xdr:colOff>219075</xdr:colOff>
          <xdr:row>10</xdr:row>
          <xdr:rowOff>0</xdr:rowOff>
        </xdr:to>
        <xdr:sp macro="" textlink="">
          <xdr:nvSpPr>
            <xdr:cNvPr id="12290" name="Group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10</xdr:col>
          <xdr:colOff>219075</xdr:colOff>
          <xdr:row>10</xdr:row>
          <xdr:rowOff>0</xdr:rowOff>
        </xdr:to>
        <xdr:sp macro="" textlink="">
          <xdr:nvSpPr>
            <xdr:cNvPr id="12291" name="Group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xdr:twoCellAnchor editAs="oneCell">
    <xdr:from>
      <xdr:col>1</xdr:col>
      <xdr:colOff>22412</xdr:colOff>
      <xdr:row>0</xdr:row>
      <xdr:rowOff>0</xdr:rowOff>
    </xdr:from>
    <xdr:to>
      <xdr:col>3</xdr:col>
      <xdr:colOff>263675</xdr:colOff>
      <xdr:row>1</xdr:row>
      <xdr:rowOff>22188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22412" y="0"/>
          <a:ext cx="571500" cy="571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11907</xdr:colOff>
      <xdr:row>0</xdr:row>
      <xdr:rowOff>1</xdr:rowOff>
    </xdr:from>
    <xdr:to>
      <xdr:col>3</xdr:col>
      <xdr:colOff>246222</xdr:colOff>
      <xdr:row>1</xdr:row>
      <xdr:rowOff>57151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1907" y="1"/>
          <a:ext cx="583406" cy="5834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9</xdr:col>
          <xdr:colOff>142875</xdr:colOff>
          <xdr:row>10</xdr:row>
          <xdr:rowOff>0</xdr:rowOff>
        </xdr:to>
        <xdr:sp macro="" textlink="">
          <xdr:nvSpPr>
            <xdr:cNvPr id="16385" name="Group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10</xdr:col>
          <xdr:colOff>219075</xdr:colOff>
          <xdr:row>10</xdr:row>
          <xdr:rowOff>0</xdr:rowOff>
        </xdr:to>
        <xdr:sp macro="" textlink="">
          <xdr:nvSpPr>
            <xdr:cNvPr id="16386" name="Group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10</xdr:col>
          <xdr:colOff>219075</xdr:colOff>
          <xdr:row>10</xdr:row>
          <xdr:rowOff>0</xdr:rowOff>
        </xdr:to>
        <xdr:sp macro="" textlink="">
          <xdr:nvSpPr>
            <xdr:cNvPr id="16387" name="Group Box 3" hidden="1">
              <a:extLst>
                <a:ext uri="{63B3BB69-23CF-44E3-9099-C40C66FF867C}">
                  <a14:compatExt spid="_x0000_s16387"/>
                </a:ext>
                <a:ext uri="{FF2B5EF4-FFF2-40B4-BE49-F238E27FC236}">
                  <a16:creationId xmlns:a16="http://schemas.microsoft.com/office/drawing/2014/main" id="{00000000-0008-0000-0500-00000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246641</xdr:colOff>
      <xdr:row>1</xdr:row>
      <xdr:rowOff>58943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600635" cy="6006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9</xdr:col>
          <xdr:colOff>142875</xdr:colOff>
          <xdr:row>10</xdr:row>
          <xdr:rowOff>0</xdr:rowOff>
        </xdr:to>
        <xdr:sp macro="" textlink="">
          <xdr:nvSpPr>
            <xdr:cNvPr id="17409" name="Group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10</xdr:col>
          <xdr:colOff>219075</xdr:colOff>
          <xdr:row>10</xdr:row>
          <xdr:rowOff>0</xdr:rowOff>
        </xdr:to>
        <xdr:sp macro="" textlink="">
          <xdr:nvSpPr>
            <xdr:cNvPr id="17410" name="Group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10</xdr:col>
          <xdr:colOff>219075</xdr:colOff>
          <xdr:row>10</xdr:row>
          <xdr:rowOff>0</xdr:rowOff>
        </xdr:to>
        <xdr:sp macro="" textlink="">
          <xdr:nvSpPr>
            <xdr:cNvPr id="17411" name="Group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249694</xdr:colOff>
      <xdr:row>1</xdr:row>
      <xdr:rowOff>59615</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0" y="0"/>
          <a:ext cx="604696" cy="60511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9</xdr:col>
          <xdr:colOff>142875</xdr:colOff>
          <xdr:row>10</xdr:row>
          <xdr:rowOff>0</xdr:rowOff>
        </xdr:to>
        <xdr:sp macro="" textlink="">
          <xdr:nvSpPr>
            <xdr:cNvPr id="21505" name="Group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10</xdr:col>
          <xdr:colOff>200025</xdr:colOff>
          <xdr:row>10</xdr:row>
          <xdr:rowOff>0</xdr:rowOff>
        </xdr:to>
        <xdr:sp macro="" textlink="">
          <xdr:nvSpPr>
            <xdr:cNvPr id="21506" name="Group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10</xdr:col>
          <xdr:colOff>200025</xdr:colOff>
          <xdr:row>10</xdr:row>
          <xdr:rowOff>0</xdr:rowOff>
        </xdr:to>
        <xdr:sp macro="" textlink="">
          <xdr:nvSpPr>
            <xdr:cNvPr id="21507" name="Group Box 3"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393</a:t>
              </a:r>
            </a:p>
          </xdr:txBody>
        </xdr:sp>
        <xdr:clientData/>
      </xdr:twoCellAnchor>
    </mc:Choice>
    <mc:Fallback/>
  </mc:AlternateContent>
</xdr:wsDr>
</file>

<file path=xl/theme/theme1.xml><?xml version="1.0" encoding="utf-8"?>
<a:theme xmlns:a="http://schemas.openxmlformats.org/drawingml/2006/main" name="Office Theme">
  <a:themeElements>
    <a:clrScheme name="Envision 2018">
      <a:dk1>
        <a:sysClr val="windowText" lastClr="000000"/>
      </a:dk1>
      <a:lt1>
        <a:sysClr val="window" lastClr="FFFFFF"/>
      </a:lt1>
      <a:dk2>
        <a:srgbClr val="236192"/>
      </a:dk2>
      <a:lt2>
        <a:srgbClr val="FFFFFF"/>
      </a:lt2>
      <a:accent1>
        <a:srgbClr val="236192"/>
      </a:accent1>
      <a:accent2>
        <a:srgbClr val="E35205"/>
      </a:accent2>
      <a:accent3>
        <a:srgbClr val="776E64"/>
      </a:accent3>
      <a:accent4>
        <a:srgbClr val="816040"/>
      </a:accent4>
      <a:accent5>
        <a:srgbClr val="509E2F"/>
      </a:accent5>
      <a:accent6>
        <a:srgbClr val="0095C8"/>
      </a:accent6>
      <a:hlink>
        <a:srgbClr val="E35205"/>
      </a:hlink>
      <a:folHlink>
        <a:srgbClr val="7F2E0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236092"/>
    <pageSetUpPr fitToPage="1"/>
  </sheetPr>
  <dimension ref="A1:Y53"/>
  <sheetViews>
    <sheetView tabSelected="1" view="pageBreakPreview" zoomScale="85" zoomScaleNormal="85" zoomScaleSheetLayoutView="85" zoomScalePageLayoutView="70" workbookViewId="0">
      <selection activeCell="C4" sqref="C4"/>
    </sheetView>
  </sheetViews>
  <sheetFormatPr defaultColWidth="0" defaultRowHeight="14.1" customHeight="1" zeroHeight="1"/>
  <cols>
    <col min="1" max="2" width="0.625" style="41" customWidth="1"/>
    <col min="3" max="3" width="8" style="40" customWidth="1"/>
    <col min="4" max="4" width="8" style="41" customWidth="1"/>
    <col min="5" max="5" width="8" style="42" customWidth="1"/>
    <col min="6" max="6" width="8" style="41" customWidth="1"/>
    <col min="7" max="9" width="8" style="46" customWidth="1"/>
    <col min="10" max="11" width="8" style="44" customWidth="1"/>
    <col min="12" max="12" width="8" style="45" customWidth="1"/>
    <col min="13" max="13" width="14.125" style="41" hidden="1" customWidth="1"/>
    <col min="14" max="25" width="10.5" style="41" hidden="1" customWidth="1"/>
    <col min="26" max="16384" width="9.125" style="41" hidden="1"/>
  </cols>
  <sheetData>
    <row r="1" spans="3:9" ht="7.5" customHeight="1">
      <c r="G1" s="43"/>
      <c r="H1" s="43"/>
      <c r="I1" s="43"/>
    </row>
    <row r="2" spans="3:9" ht="14.1" customHeight="1"/>
    <row r="3" spans="3:9" ht="14.1" customHeight="1"/>
    <row r="4" spans="3:9" ht="14.1" customHeight="1"/>
    <row r="5" spans="3:9" ht="14.1" customHeight="1"/>
    <row r="6" spans="3:9" ht="14.1" customHeight="1"/>
    <row r="7" spans="3:9" ht="14.1" customHeight="1"/>
    <row r="8" spans="3:9" ht="14.1" customHeight="1"/>
    <row r="9" spans="3:9" ht="14.1" customHeight="1"/>
    <row r="10" spans="3:9" ht="14.1" customHeight="1"/>
    <row r="11" spans="3:9" ht="14.1" customHeight="1">
      <c r="C11" s="47"/>
    </row>
    <row r="12" spans="3:9" ht="14.1" customHeight="1">
      <c r="C12" s="47"/>
    </row>
    <row r="13" spans="3:9" ht="14.1" customHeight="1">
      <c r="C13" s="47"/>
    </row>
    <row r="14" spans="3:9" ht="14.1" customHeight="1"/>
    <row r="15" spans="3:9" ht="14.1" customHeight="1"/>
    <row r="16" spans="3:9" ht="14.1" customHeight="1"/>
    <row r="17" ht="14.1" customHeight="1"/>
    <row r="18"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sheetData>
  <sheetProtection sheet="1" objects="1" scenarios="1"/>
  <phoneticPr fontId="8" type="noConversion"/>
  <pageMargins left="1" right="1" top="1.1000000000000001" bottom="0.75" header="0.5" footer="0.3"/>
  <pageSetup scale="90" orientation="portrait" r:id="rId1"/>
  <headerFooter>
    <oddHeader>&amp;L&amp;"Calibri,Regular"&amp;K000000  &amp;G</oddHeader>
    <oddFooter>&amp;C&amp;"Arial Narrow,Regular"&amp;7&amp;K00-046Institute for Sustainable Infrastructure_x000D_1275 K Street NW, Suite 750_x000D_Washington DC, 20005</oddFooter>
  </headerFooter>
  <drawing r:id="rId2"/>
  <legacyDrawingHF r:id="rId3"/>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H60"/>
  <sheetViews>
    <sheetView workbookViewId="0">
      <selection activeCell="C52" sqref="C52"/>
    </sheetView>
  </sheetViews>
  <sheetFormatPr defaultColWidth="11" defaultRowHeight="15.75"/>
  <cols>
    <col min="1" max="1" width="48.625" customWidth="1"/>
    <col min="2" max="2" width="9.625" customWidth="1"/>
  </cols>
  <sheetData>
    <row r="1" spans="1:8">
      <c r="B1" t="s">
        <v>116</v>
      </c>
      <c r="C1" t="s">
        <v>8</v>
      </c>
      <c r="D1" t="s">
        <v>9</v>
      </c>
      <c r="E1" t="s">
        <v>10</v>
      </c>
      <c r="F1" t="s">
        <v>11</v>
      </c>
      <c r="G1" t="s">
        <v>12</v>
      </c>
      <c r="H1" t="s">
        <v>806</v>
      </c>
    </row>
    <row r="2" spans="1:8">
      <c r="A2" t="s">
        <v>15</v>
      </c>
      <c r="B2">
        <v>0</v>
      </c>
      <c r="C2">
        <v>2</v>
      </c>
      <c r="D2">
        <v>5</v>
      </c>
      <c r="E2">
        <v>10</v>
      </c>
      <c r="F2">
        <v>20</v>
      </c>
      <c r="G2">
        <v>26</v>
      </c>
      <c r="H2">
        <f>MAX(B2:G2)</f>
        <v>26</v>
      </c>
    </row>
    <row r="3" spans="1:8">
      <c r="A3" t="s">
        <v>16</v>
      </c>
      <c r="B3">
        <v>0</v>
      </c>
      <c r="C3">
        <v>2</v>
      </c>
      <c r="D3">
        <v>7</v>
      </c>
      <c r="E3">
        <v>12</v>
      </c>
      <c r="F3">
        <v>16</v>
      </c>
      <c r="G3">
        <v>20</v>
      </c>
      <c r="H3">
        <f t="shared" ref="H3:H60" si="0">MAX(B3:G3)</f>
        <v>20</v>
      </c>
    </row>
    <row r="4" spans="1:8">
      <c r="A4" t="s">
        <v>17</v>
      </c>
      <c r="B4">
        <v>0</v>
      </c>
      <c r="C4">
        <v>2</v>
      </c>
      <c r="D4">
        <v>5</v>
      </c>
      <c r="E4">
        <v>10</v>
      </c>
      <c r="F4">
        <v>14</v>
      </c>
      <c r="G4" t="s">
        <v>807</v>
      </c>
      <c r="H4">
        <f t="shared" si="0"/>
        <v>14</v>
      </c>
    </row>
    <row r="5" spans="1:8">
      <c r="A5" t="s">
        <v>19</v>
      </c>
      <c r="B5">
        <v>0</v>
      </c>
      <c r="C5">
        <v>1</v>
      </c>
      <c r="D5">
        <v>3</v>
      </c>
      <c r="E5">
        <v>6</v>
      </c>
      <c r="F5">
        <v>10</v>
      </c>
      <c r="G5">
        <v>12</v>
      </c>
      <c r="H5">
        <f t="shared" si="0"/>
        <v>12</v>
      </c>
    </row>
    <row r="6" spans="1:8">
      <c r="A6" t="s">
        <v>20</v>
      </c>
      <c r="B6">
        <v>0</v>
      </c>
      <c r="C6">
        <v>1</v>
      </c>
      <c r="D6">
        <v>3</v>
      </c>
      <c r="E6">
        <v>6</v>
      </c>
      <c r="F6">
        <v>10</v>
      </c>
      <c r="G6">
        <v>12</v>
      </c>
      <c r="H6">
        <f t="shared" si="0"/>
        <v>12</v>
      </c>
    </row>
    <row r="7" spans="1:8">
      <c r="A7" t="s">
        <v>21</v>
      </c>
      <c r="B7">
        <v>0</v>
      </c>
      <c r="C7">
        <v>1</v>
      </c>
      <c r="D7">
        <v>2</v>
      </c>
      <c r="E7">
        <v>4</v>
      </c>
      <c r="F7">
        <v>8</v>
      </c>
      <c r="G7" t="s">
        <v>807</v>
      </c>
      <c r="H7">
        <f t="shared" si="0"/>
        <v>8</v>
      </c>
    </row>
    <row r="8" spans="1:8">
      <c r="A8" t="s">
        <v>127</v>
      </c>
      <c r="B8">
        <v>0</v>
      </c>
      <c r="C8">
        <v>1</v>
      </c>
      <c r="D8">
        <v>3</v>
      </c>
      <c r="E8">
        <v>7</v>
      </c>
      <c r="F8">
        <v>11</v>
      </c>
      <c r="G8">
        <v>14</v>
      </c>
      <c r="H8">
        <f t="shared" si="0"/>
        <v>14</v>
      </c>
    </row>
    <row r="9" spans="1:8">
      <c r="A9" t="s">
        <v>25</v>
      </c>
      <c r="B9">
        <v>0</v>
      </c>
      <c r="C9" t="s">
        <v>807</v>
      </c>
      <c r="D9">
        <v>5</v>
      </c>
      <c r="E9">
        <v>8</v>
      </c>
      <c r="F9">
        <v>12</v>
      </c>
      <c r="G9">
        <v>16</v>
      </c>
      <c r="H9">
        <f t="shared" si="0"/>
        <v>16</v>
      </c>
    </row>
    <row r="10" spans="1:8">
      <c r="A10" t="s">
        <v>26</v>
      </c>
      <c r="B10">
        <v>0</v>
      </c>
      <c r="C10">
        <v>1</v>
      </c>
      <c r="D10">
        <v>5</v>
      </c>
      <c r="E10">
        <v>9</v>
      </c>
      <c r="F10">
        <v>14</v>
      </c>
      <c r="G10" t="s">
        <v>807</v>
      </c>
      <c r="H10">
        <f t="shared" si="0"/>
        <v>14</v>
      </c>
    </row>
    <row r="11" spans="1:8">
      <c r="A11" t="s">
        <v>28</v>
      </c>
      <c r="B11">
        <v>0</v>
      </c>
      <c r="C11">
        <v>3</v>
      </c>
      <c r="D11">
        <v>6</v>
      </c>
      <c r="E11">
        <v>10</v>
      </c>
      <c r="F11">
        <v>14</v>
      </c>
      <c r="G11">
        <v>18</v>
      </c>
      <c r="H11">
        <f t="shared" si="0"/>
        <v>18</v>
      </c>
    </row>
    <row r="12" spans="1:8">
      <c r="A12" t="s">
        <v>29</v>
      </c>
      <c r="B12">
        <v>0</v>
      </c>
      <c r="C12" t="s">
        <v>807</v>
      </c>
      <c r="D12">
        <v>2</v>
      </c>
      <c r="E12">
        <v>7</v>
      </c>
      <c r="F12">
        <v>12</v>
      </c>
      <c r="G12">
        <v>18</v>
      </c>
      <c r="H12">
        <f t="shared" si="0"/>
        <v>18</v>
      </c>
    </row>
    <row r="13" spans="1:8">
      <c r="A13" t="s">
        <v>30</v>
      </c>
      <c r="B13">
        <v>0</v>
      </c>
      <c r="C13">
        <v>1</v>
      </c>
      <c r="D13">
        <v>3</v>
      </c>
      <c r="E13">
        <v>7</v>
      </c>
      <c r="F13">
        <v>11</v>
      </c>
      <c r="G13">
        <v>14</v>
      </c>
      <c r="H13">
        <f t="shared" si="0"/>
        <v>14</v>
      </c>
    </row>
    <row r="14" spans="1:8">
      <c r="A14" t="s">
        <v>31</v>
      </c>
      <c r="B14">
        <v>0</v>
      </c>
      <c r="C14">
        <v>1</v>
      </c>
      <c r="D14">
        <v>3</v>
      </c>
      <c r="E14">
        <v>7</v>
      </c>
      <c r="F14">
        <v>11</v>
      </c>
      <c r="G14">
        <v>14</v>
      </c>
      <c r="H14">
        <f t="shared" si="0"/>
        <v>14</v>
      </c>
    </row>
    <row r="15" spans="1:8">
      <c r="A15" t="s">
        <v>33</v>
      </c>
      <c r="B15">
        <v>0</v>
      </c>
      <c r="C15">
        <v>2</v>
      </c>
      <c r="D15">
        <v>5</v>
      </c>
      <c r="E15">
        <v>12</v>
      </c>
      <c r="F15">
        <v>18</v>
      </c>
      <c r="G15" t="s">
        <v>807</v>
      </c>
      <c r="H15">
        <f t="shared" si="0"/>
        <v>18</v>
      </c>
    </row>
    <row r="16" spans="1:8">
      <c r="A16" t="s">
        <v>34</v>
      </c>
      <c r="B16">
        <v>0</v>
      </c>
      <c r="C16">
        <v>2</v>
      </c>
      <c r="D16">
        <v>5</v>
      </c>
      <c r="E16">
        <v>12</v>
      </c>
      <c r="F16">
        <v>18</v>
      </c>
      <c r="G16" t="s">
        <v>807</v>
      </c>
      <c r="H16">
        <f t="shared" si="0"/>
        <v>18</v>
      </c>
    </row>
    <row r="17" spans="1:8">
      <c r="A17" t="s">
        <v>35</v>
      </c>
      <c r="B17">
        <v>0</v>
      </c>
      <c r="C17">
        <v>3</v>
      </c>
      <c r="D17">
        <v>6</v>
      </c>
      <c r="E17">
        <v>9</v>
      </c>
      <c r="F17">
        <v>14</v>
      </c>
      <c r="G17">
        <v>18</v>
      </c>
      <c r="H17">
        <f t="shared" si="0"/>
        <v>18</v>
      </c>
    </row>
    <row r="18" spans="1:8">
      <c r="A18" t="s">
        <v>36</v>
      </c>
      <c r="B18">
        <v>0</v>
      </c>
      <c r="C18">
        <v>3</v>
      </c>
      <c r="D18">
        <v>6</v>
      </c>
      <c r="E18">
        <v>12</v>
      </c>
      <c r="F18">
        <v>14</v>
      </c>
      <c r="G18">
        <v>18</v>
      </c>
      <c r="H18">
        <f t="shared" si="0"/>
        <v>18</v>
      </c>
    </row>
    <row r="19" spans="1:8">
      <c r="A19" t="s">
        <v>38</v>
      </c>
      <c r="B19">
        <v>0</v>
      </c>
      <c r="C19">
        <v>4</v>
      </c>
      <c r="D19">
        <v>7</v>
      </c>
      <c r="E19">
        <v>12</v>
      </c>
      <c r="F19">
        <v>18</v>
      </c>
      <c r="G19" t="s">
        <v>807</v>
      </c>
      <c r="H19">
        <f t="shared" si="0"/>
        <v>18</v>
      </c>
    </row>
    <row r="20" spans="1:8">
      <c r="A20" t="s">
        <v>39</v>
      </c>
      <c r="B20">
        <v>0</v>
      </c>
      <c r="C20">
        <v>4</v>
      </c>
      <c r="D20">
        <v>6</v>
      </c>
      <c r="E20">
        <v>9</v>
      </c>
      <c r="F20">
        <v>12</v>
      </c>
      <c r="G20">
        <v>16</v>
      </c>
      <c r="H20">
        <f t="shared" si="0"/>
        <v>16</v>
      </c>
    </row>
    <row r="21" spans="1:8">
      <c r="A21" t="s">
        <v>41</v>
      </c>
      <c r="B21">
        <v>0</v>
      </c>
      <c r="C21">
        <v>2</v>
      </c>
      <c r="D21">
        <v>5</v>
      </c>
      <c r="E21">
        <v>8</v>
      </c>
      <c r="F21">
        <v>12</v>
      </c>
      <c r="G21" t="s">
        <v>807</v>
      </c>
      <c r="H21">
        <f t="shared" si="0"/>
        <v>12</v>
      </c>
    </row>
    <row r="22" spans="1:8">
      <c r="A22" t="s">
        <v>42</v>
      </c>
      <c r="B22">
        <v>0</v>
      </c>
      <c r="C22">
        <v>2</v>
      </c>
      <c r="D22">
        <v>5</v>
      </c>
      <c r="E22">
        <v>8</v>
      </c>
      <c r="F22">
        <v>14</v>
      </c>
      <c r="G22" t="s">
        <v>807</v>
      </c>
      <c r="H22">
        <f t="shared" si="0"/>
        <v>14</v>
      </c>
    </row>
    <row r="23" spans="1:8">
      <c r="A23" t="s">
        <v>44</v>
      </c>
      <c r="B23">
        <v>0</v>
      </c>
      <c r="C23">
        <v>3</v>
      </c>
      <c r="D23">
        <v>6</v>
      </c>
      <c r="E23">
        <v>12</v>
      </c>
      <c r="F23">
        <v>20</v>
      </c>
      <c r="G23" t="s">
        <v>807</v>
      </c>
      <c r="H23">
        <f t="shared" si="0"/>
        <v>20</v>
      </c>
    </row>
    <row r="24" spans="1:8">
      <c r="A24" t="s">
        <v>45</v>
      </c>
      <c r="B24">
        <v>0</v>
      </c>
      <c r="C24">
        <v>2</v>
      </c>
      <c r="D24">
        <v>4</v>
      </c>
      <c r="E24">
        <v>8</v>
      </c>
      <c r="F24">
        <v>12</v>
      </c>
      <c r="G24">
        <v>16</v>
      </c>
      <c r="H24">
        <f t="shared" si="0"/>
        <v>16</v>
      </c>
    </row>
    <row r="25" spans="1:8">
      <c r="A25" t="s">
        <v>46</v>
      </c>
      <c r="B25">
        <v>0</v>
      </c>
      <c r="C25">
        <v>5</v>
      </c>
      <c r="D25">
        <v>7</v>
      </c>
      <c r="E25">
        <v>10</v>
      </c>
      <c r="F25">
        <v>12</v>
      </c>
      <c r="G25">
        <v>14</v>
      </c>
      <c r="H25">
        <f t="shared" si="0"/>
        <v>14</v>
      </c>
    </row>
    <row r="26" spans="1:8">
      <c r="A26" t="s">
        <v>48</v>
      </c>
      <c r="B26">
        <v>0</v>
      </c>
      <c r="C26">
        <v>3</v>
      </c>
      <c r="D26">
        <v>6</v>
      </c>
      <c r="E26">
        <v>9</v>
      </c>
      <c r="F26">
        <v>12</v>
      </c>
      <c r="G26" t="s">
        <v>807</v>
      </c>
      <c r="H26">
        <f t="shared" si="0"/>
        <v>12</v>
      </c>
    </row>
    <row r="27" spans="1:8">
      <c r="A27" t="s">
        <v>49</v>
      </c>
      <c r="B27">
        <v>0</v>
      </c>
      <c r="C27">
        <v>4</v>
      </c>
      <c r="D27">
        <v>6</v>
      </c>
      <c r="E27">
        <v>9</v>
      </c>
      <c r="F27">
        <v>16</v>
      </c>
      <c r="G27" t="s">
        <v>807</v>
      </c>
      <c r="H27">
        <f t="shared" si="0"/>
        <v>16</v>
      </c>
    </row>
    <row r="28" spans="1:8">
      <c r="A28" t="s">
        <v>50</v>
      </c>
      <c r="B28">
        <v>0</v>
      </c>
      <c r="C28">
        <v>4</v>
      </c>
      <c r="D28">
        <v>7</v>
      </c>
      <c r="E28">
        <v>10</v>
      </c>
      <c r="F28">
        <v>14</v>
      </c>
      <c r="G28" t="s">
        <v>807</v>
      </c>
      <c r="H28">
        <f t="shared" si="0"/>
        <v>14</v>
      </c>
    </row>
    <row r="29" spans="1:8">
      <c r="A29" t="s">
        <v>51</v>
      </c>
      <c r="B29">
        <v>0</v>
      </c>
      <c r="C29">
        <v>4</v>
      </c>
      <c r="D29">
        <v>7</v>
      </c>
      <c r="E29">
        <v>10</v>
      </c>
      <c r="F29">
        <v>16</v>
      </c>
      <c r="G29" t="s">
        <v>807</v>
      </c>
      <c r="H29">
        <f t="shared" si="0"/>
        <v>16</v>
      </c>
    </row>
    <row r="30" spans="1:8">
      <c r="A30" t="s">
        <v>52</v>
      </c>
      <c r="B30">
        <v>0</v>
      </c>
      <c r="C30">
        <v>2</v>
      </c>
      <c r="D30">
        <v>4</v>
      </c>
      <c r="E30">
        <v>6</v>
      </c>
      <c r="F30">
        <v>8</v>
      </c>
      <c r="G30" t="s">
        <v>807</v>
      </c>
      <c r="H30">
        <f t="shared" si="0"/>
        <v>8</v>
      </c>
    </row>
    <row r="31" spans="1:8">
      <c r="A31" t="s">
        <v>54</v>
      </c>
      <c r="B31">
        <v>0</v>
      </c>
      <c r="C31">
        <v>6</v>
      </c>
      <c r="D31">
        <v>12</v>
      </c>
      <c r="E31">
        <v>18</v>
      </c>
      <c r="F31">
        <v>26</v>
      </c>
      <c r="G31" t="s">
        <v>807</v>
      </c>
      <c r="H31">
        <f t="shared" si="0"/>
        <v>26</v>
      </c>
    </row>
    <row r="32" spans="1:8">
      <c r="A32" t="s">
        <v>55</v>
      </c>
      <c r="B32">
        <v>0</v>
      </c>
      <c r="C32">
        <v>1</v>
      </c>
      <c r="D32">
        <v>4</v>
      </c>
      <c r="E32">
        <v>8</v>
      </c>
      <c r="F32">
        <v>12</v>
      </c>
      <c r="G32" t="s">
        <v>807</v>
      </c>
      <c r="H32">
        <f t="shared" si="0"/>
        <v>12</v>
      </c>
    </row>
    <row r="33" spans="1:8">
      <c r="A33" t="s">
        <v>57</v>
      </c>
      <c r="B33">
        <v>0</v>
      </c>
      <c r="C33">
        <v>5</v>
      </c>
      <c r="D33">
        <v>10</v>
      </c>
      <c r="E33">
        <v>15</v>
      </c>
      <c r="F33">
        <v>20</v>
      </c>
      <c r="G33">
        <v>24</v>
      </c>
      <c r="H33">
        <f t="shared" si="0"/>
        <v>24</v>
      </c>
    </row>
    <row r="34" spans="1:8">
      <c r="A34" t="s">
        <v>59</v>
      </c>
      <c r="B34">
        <v>0</v>
      </c>
      <c r="C34">
        <v>3</v>
      </c>
      <c r="D34">
        <v>6</v>
      </c>
      <c r="E34">
        <v>12</v>
      </c>
      <c r="F34">
        <v>14</v>
      </c>
      <c r="G34" t="s">
        <v>807</v>
      </c>
      <c r="H34">
        <f t="shared" si="0"/>
        <v>14</v>
      </c>
    </row>
    <row r="35" spans="1:8">
      <c r="A35" t="s">
        <v>61</v>
      </c>
      <c r="B35">
        <v>0</v>
      </c>
      <c r="C35">
        <v>3</v>
      </c>
      <c r="D35">
        <v>5</v>
      </c>
      <c r="E35">
        <v>7</v>
      </c>
      <c r="F35">
        <v>9</v>
      </c>
      <c r="G35">
        <v>12</v>
      </c>
      <c r="H35">
        <f t="shared" si="0"/>
        <v>12</v>
      </c>
    </row>
    <row r="36" spans="1:8">
      <c r="A36" t="s">
        <v>62</v>
      </c>
      <c r="B36">
        <v>0</v>
      </c>
      <c r="C36">
        <v>4</v>
      </c>
      <c r="D36">
        <v>9</v>
      </c>
      <c r="E36">
        <v>13</v>
      </c>
      <c r="F36">
        <v>17</v>
      </c>
      <c r="G36">
        <v>22</v>
      </c>
      <c r="H36">
        <f t="shared" si="0"/>
        <v>22</v>
      </c>
    </row>
    <row r="37" spans="1:8">
      <c r="A37" t="s">
        <v>63</v>
      </c>
      <c r="B37">
        <v>0</v>
      </c>
      <c r="C37">
        <v>1</v>
      </c>
      <c r="D37">
        <v>3</v>
      </c>
      <c r="E37">
        <v>5</v>
      </c>
      <c r="F37">
        <v>8</v>
      </c>
      <c r="G37" t="s">
        <v>807</v>
      </c>
      <c r="H37">
        <f t="shared" si="0"/>
        <v>8</v>
      </c>
    </row>
    <row r="38" spans="1:8">
      <c r="A38" t="s">
        <v>64</v>
      </c>
      <c r="B38">
        <v>0</v>
      </c>
      <c r="C38">
        <v>1</v>
      </c>
      <c r="D38">
        <v>3</v>
      </c>
      <c r="E38">
        <v>6</v>
      </c>
      <c r="F38">
        <v>12</v>
      </c>
      <c r="G38" t="s">
        <v>807</v>
      </c>
      <c r="H38">
        <f t="shared" si="0"/>
        <v>12</v>
      </c>
    </row>
    <row r="39" spans="1:8">
      <c r="A39" t="s">
        <v>66</v>
      </c>
      <c r="B39">
        <v>0</v>
      </c>
      <c r="C39">
        <v>2</v>
      </c>
      <c r="D39">
        <v>6</v>
      </c>
      <c r="E39">
        <v>12</v>
      </c>
      <c r="F39">
        <v>16</v>
      </c>
      <c r="G39">
        <v>22</v>
      </c>
      <c r="H39">
        <f t="shared" si="0"/>
        <v>22</v>
      </c>
    </row>
    <row r="40" spans="1:8">
      <c r="A40" t="s">
        <v>67</v>
      </c>
      <c r="B40">
        <v>0</v>
      </c>
      <c r="C40">
        <v>2</v>
      </c>
      <c r="D40">
        <v>5</v>
      </c>
      <c r="E40">
        <v>10</v>
      </c>
      <c r="F40">
        <v>16</v>
      </c>
      <c r="G40">
        <v>20</v>
      </c>
      <c r="H40">
        <f t="shared" si="0"/>
        <v>20</v>
      </c>
    </row>
    <row r="41" spans="1:8">
      <c r="A41" t="s">
        <v>68</v>
      </c>
      <c r="B41">
        <v>0</v>
      </c>
      <c r="C41" t="s">
        <v>807</v>
      </c>
      <c r="D41">
        <v>2</v>
      </c>
      <c r="E41">
        <v>8</v>
      </c>
      <c r="F41">
        <v>12</v>
      </c>
      <c r="G41">
        <v>16</v>
      </c>
      <c r="H41">
        <f t="shared" si="0"/>
        <v>16</v>
      </c>
    </row>
    <row r="42" spans="1:8">
      <c r="A42" t="s">
        <v>69</v>
      </c>
      <c r="B42">
        <v>0</v>
      </c>
      <c r="C42">
        <v>3</v>
      </c>
      <c r="D42">
        <v>8</v>
      </c>
      <c r="E42">
        <v>12</v>
      </c>
      <c r="F42">
        <v>18</v>
      </c>
      <c r="G42">
        <v>24</v>
      </c>
      <c r="H42">
        <f t="shared" si="0"/>
        <v>24</v>
      </c>
    </row>
    <row r="43" spans="1:8">
      <c r="A43" t="s">
        <v>71</v>
      </c>
      <c r="B43">
        <v>0</v>
      </c>
      <c r="C43">
        <v>11</v>
      </c>
      <c r="D43">
        <v>13</v>
      </c>
      <c r="E43">
        <v>16</v>
      </c>
      <c r="F43">
        <v>19</v>
      </c>
      <c r="G43">
        <v>22</v>
      </c>
      <c r="H43">
        <f t="shared" si="0"/>
        <v>22</v>
      </c>
    </row>
    <row r="44" spans="1:8">
      <c r="A44" t="s">
        <v>72</v>
      </c>
      <c r="B44">
        <v>0</v>
      </c>
      <c r="C44">
        <v>2</v>
      </c>
      <c r="D44">
        <v>4</v>
      </c>
      <c r="E44">
        <v>9</v>
      </c>
      <c r="F44">
        <v>17</v>
      </c>
      <c r="G44">
        <v>24</v>
      </c>
      <c r="H44">
        <f t="shared" si="0"/>
        <v>24</v>
      </c>
    </row>
    <row r="45" spans="1:8">
      <c r="A45" t="s">
        <v>73</v>
      </c>
      <c r="B45">
        <v>0</v>
      </c>
      <c r="C45">
        <v>1</v>
      </c>
      <c r="D45">
        <v>2</v>
      </c>
      <c r="E45">
        <v>5</v>
      </c>
      <c r="F45">
        <v>9</v>
      </c>
      <c r="G45">
        <v>12</v>
      </c>
      <c r="H45">
        <f t="shared" si="0"/>
        <v>12</v>
      </c>
    </row>
    <row r="46" spans="1:8">
      <c r="A46" t="s">
        <v>75</v>
      </c>
      <c r="B46">
        <v>0</v>
      </c>
      <c r="C46">
        <v>2</v>
      </c>
      <c r="D46">
        <v>5</v>
      </c>
      <c r="E46">
        <v>9</v>
      </c>
      <c r="F46">
        <v>14</v>
      </c>
      <c r="G46">
        <v>20</v>
      </c>
      <c r="H46">
        <f t="shared" si="0"/>
        <v>20</v>
      </c>
    </row>
    <row r="47" spans="1:8">
      <c r="A47" t="s">
        <v>78</v>
      </c>
      <c r="B47">
        <v>0</v>
      </c>
      <c r="C47">
        <v>2</v>
      </c>
      <c r="D47">
        <v>5</v>
      </c>
      <c r="E47">
        <v>9</v>
      </c>
      <c r="F47">
        <v>15</v>
      </c>
      <c r="G47">
        <v>18</v>
      </c>
      <c r="H47">
        <f t="shared" si="0"/>
        <v>18</v>
      </c>
    </row>
    <row r="48" spans="1:8">
      <c r="A48" t="s">
        <v>79</v>
      </c>
      <c r="B48">
        <v>0</v>
      </c>
      <c r="C48">
        <v>3</v>
      </c>
      <c r="D48">
        <v>7</v>
      </c>
      <c r="E48">
        <v>12</v>
      </c>
      <c r="F48">
        <v>18</v>
      </c>
      <c r="G48">
        <v>20</v>
      </c>
      <c r="H48">
        <f t="shared" si="0"/>
        <v>20</v>
      </c>
    </row>
    <row r="49" spans="1:8">
      <c r="A49" t="s">
        <v>80</v>
      </c>
      <c r="B49">
        <v>0</v>
      </c>
      <c r="C49">
        <v>1</v>
      </c>
      <c r="D49">
        <v>3</v>
      </c>
      <c r="E49">
        <v>7</v>
      </c>
      <c r="F49">
        <v>11</v>
      </c>
      <c r="G49">
        <v>14</v>
      </c>
      <c r="H49">
        <f t="shared" si="0"/>
        <v>14</v>
      </c>
    </row>
    <row r="50" spans="1:8">
      <c r="A50" t="s">
        <v>81</v>
      </c>
      <c r="B50">
        <v>0</v>
      </c>
      <c r="C50">
        <v>1</v>
      </c>
      <c r="D50">
        <v>2</v>
      </c>
      <c r="E50">
        <v>6</v>
      </c>
      <c r="F50">
        <v>9</v>
      </c>
      <c r="G50">
        <v>12</v>
      </c>
      <c r="H50">
        <f t="shared" si="0"/>
        <v>12</v>
      </c>
    </row>
    <row r="51" spans="1:8">
      <c r="A51" t="s">
        <v>82</v>
      </c>
      <c r="B51">
        <v>0</v>
      </c>
      <c r="C51" t="s">
        <v>807</v>
      </c>
      <c r="D51">
        <v>3</v>
      </c>
      <c r="E51">
        <v>4</v>
      </c>
      <c r="F51">
        <v>6</v>
      </c>
      <c r="G51">
        <v>8</v>
      </c>
      <c r="H51">
        <f t="shared" si="0"/>
        <v>8</v>
      </c>
    </row>
    <row r="52" spans="1:8">
      <c r="A52" t="s">
        <v>84</v>
      </c>
      <c r="B52">
        <v>0</v>
      </c>
      <c r="C52">
        <v>5</v>
      </c>
      <c r="D52">
        <v>10</v>
      </c>
      <c r="E52">
        <v>15</v>
      </c>
      <c r="F52">
        <v>20</v>
      </c>
      <c r="G52" t="s">
        <v>807</v>
      </c>
      <c r="H52">
        <f t="shared" si="0"/>
        <v>20</v>
      </c>
    </row>
    <row r="53" spans="1:8">
      <c r="A53" t="s">
        <v>85</v>
      </c>
      <c r="B53">
        <v>0</v>
      </c>
      <c r="C53">
        <v>8</v>
      </c>
      <c r="D53">
        <v>13</v>
      </c>
      <c r="E53">
        <v>18</v>
      </c>
      <c r="F53">
        <v>22</v>
      </c>
      <c r="G53">
        <v>26</v>
      </c>
      <c r="H53">
        <f t="shared" si="0"/>
        <v>26</v>
      </c>
    </row>
    <row r="54" spans="1:8">
      <c r="A54" t="s">
        <v>86</v>
      </c>
      <c r="B54">
        <v>0</v>
      </c>
      <c r="C54">
        <v>2</v>
      </c>
      <c r="D54">
        <v>4</v>
      </c>
      <c r="E54">
        <v>9</v>
      </c>
      <c r="F54">
        <v>14</v>
      </c>
      <c r="G54">
        <v>18</v>
      </c>
      <c r="H54">
        <f t="shared" si="0"/>
        <v>18</v>
      </c>
    </row>
    <row r="55" spans="1:8">
      <c r="A55" t="s">
        <v>88</v>
      </c>
      <c r="B55">
        <v>0</v>
      </c>
      <c r="C55">
        <v>3</v>
      </c>
      <c r="D55">
        <v>6</v>
      </c>
      <c r="E55">
        <v>8</v>
      </c>
      <c r="F55">
        <v>12</v>
      </c>
      <c r="G55">
        <v>16</v>
      </c>
      <c r="H55">
        <f t="shared" si="0"/>
        <v>16</v>
      </c>
    </row>
    <row r="56" spans="1:8">
      <c r="A56" t="s">
        <v>89</v>
      </c>
      <c r="B56">
        <v>0</v>
      </c>
      <c r="C56">
        <v>8</v>
      </c>
      <c r="D56">
        <v>14</v>
      </c>
      <c r="E56">
        <v>18</v>
      </c>
      <c r="F56">
        <v>20</v>
      </c>
      <c r="G56" t="s">
        <v>807</v>
      </c>
      <c r="H56">
        <f t="shared" si="0"/>
        <v>20</v>
      </c>
    </row>
    <row r="57" spans="1:8">
      <c r="A57" t="s">
        <v>91</v>
      </c>
      <c r="B57">
        <v>0</v>
      </c>
      <c r="C57">
        <v>11</v>
      </c>
      <c r="D57">
        <v>18</v>
      </c>
      <c r="E57">
        <v>24</v>
      </c>
      <c r="F57">
        <v>26</v>
      </c>
      <c r="G57" t="s">
        <v>807</v>
      </c>
      <c r="H57">
        <f t="shared" si="0"/>
        <v>26</v>
      </c>
    </row>
    <row r="58" spans="1:8">
      <c r="A58" t="s">
        <v>93</v>
      </c>
      <c r="B58">
        <v>0</v>
      </c>
      <c r="C58" t="s">
        <v>807</v>
      </c>
      <c r="D58">
        <v>8</v>
      </c>
      <c r="E58">
        <v>14</v>
      </c>
      <c r="F58">
        <v>20</v>
      </c>
      <c r="G58" t="s">
        <v>807</v>
      </c>
      <c r="H58">
        <f t="shared" si="0"/>
        <v>20</v>
      </c>
    </row>
    <row r="59" spans="1:8">
      <c r="A59" t="s">
        <v>94</v>
      </c>
      <c r="B59">
        <v>0</v>
      </c>
      <c r="C59">
        <v>11</v>
      </c>
      <c r="D59">
        <v>15</v>
      </c>
      <c r="E59">
        <v>20</v>
      </c>
      <c r="F59">
        <v>26</v>
      </c>
      <c r="G59" t="s">
        <v>807</v>
      </c>
      <c r="H59">
        <f t="shared" si="0"/>
        <v>26</v>
      </c>
    </row>
    <row r="60" spans="1:8">
      <c r="A60" t="s">
        <v>95</v>
      </c>
      <c r="B60">
        <v>0</v>
      </c>
      <c r="C60">
        <v>2</v>
      </c>
      <c r="D60">
        <v>5</v>
      </c>
      <c r="E60">
        <v>9</v>
      </c>
      <c r="F60">
        <v>13</v>
      </c>
      <c r="G60">
        <v>18</v>
      </c>
      <c r="H60">
        <f t="shared" si="0"/>
        <v>18</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36092"/>
  </sheetPr>
  <dimension ref="A1:Q84"/>
  <sheetViews>
    <sheetView view="pageBreakPreview" zoomScaleNormal="100" zoomScaleSheetLayoutView="100" workbookViewId="0">
      <selection activeCell="G6" sqref="G6"/>
    </sheetView>
  </sheetViews>
  <sheetFormatPr defaultColWidth="0" defaultRowHeight="15.75" zeroHeight="1"/>
  <cols>
    <col min="1" max="2" width="1.125" customWidth="1"/>
    <col min="3" max="3" width="12.125" customWidth="1"/>
    <col min="4" max="4" width="11.125" customWidth="1"/>
    <col min="5" max="5" width="30.625" bestFit="1" customWidth="1"/>
    <col min="6" max="6" width="11.125" customWidth="1"/>
    <col min="7" max="8" width="8.625" customWidth="1"/>
    <col min="9" max="13" width="10.125" customWidth="1"/>
    <col min="14" max="14" width="8.625" customWidth="1"/>
    <col min="15" max="16" width="14.125" customWidth="1"/>
    <col min="17" max="17" width="3.625" style="193" customWidth="1"/>
    <col min="18" max="16384" width="8.625" hidden="1"/>
  </cols>
  <sheetData>
    <row r="1" spans="1:16">
      <c r="A1" s="22"/>
      <c r="B1" s="22"/>
      <c r="C1" s="22"/>
      <c r="D1" s="23"/>
      <c r="E1" s="23"/>
      <c r="F1" s="24"/>
      <c r="G1" s="24"/>
      <c r="H1" s="24"/>
      <c r="I1" s="24"/>
      <c r="J1" s="24"/>
      <c r="K1" s="24"/>
      <c r="L1" s="24"/>
      <c r="M1" s="24"/>
      <c r="N1" s="24"/>
      <c r="O1" s="24"/>
      <c r="P1" s="22"/>
    </row>
    <row r="2" spans="1:16" ht="26.25">
      <c r="A2" s="22"/>
      <c r="B2" s="22"/>
      <c r="C2" s="54" t="s">
        <v>0</v>
      </c>
      <c r="D2" s="23"/>
      <c r="E2" s="23"/>
      <c r="F2" s="24"/>
      <c r="G2" s="24"/>
      <c r="H2" s="24"/>
      <c r="I2" s="24"/>
      <c r="J2" s="24"/>
      <c r="K2" s="24"/>
      <c r="L2" s="24"/>
      <c r="M2" s="24"/>
      <c r="N2" s="24"/>
      <c r="O2" s="24"/>
      <c r="P2" s="22"/>
    </row>
    <row r="3" spans="1:16">
      <c r="A3" s="22"/>
      <c r="B3" s="22"/>
      <c r="C3" s="22"/>
      <c r="D3" s="23"/>
      <c r="E3" s="23"/>
      <c r="F3" s="24"/>
      <c r="G3" s="24"/>
      <c r="H3" s="24"/>
      <c r="I3" s="24"/>
      <c r="J3" s="24"/>
      <c r="K3" s="24"/>
      <c r="L3" s="24"/>
      <c r="M3" s="24"/>
      <c r="N3" s="24"/>
      <c r="O3" s="24"/>
      <c r="P3" s="22"/>
    </row>
    <row r="4" spans="1:16" ht="24" customHeight="1">
      <c r="A4" s="22"/>
      <c r="B4" s="22"/>
      <c r="C4" s="22"/>
      <c r="D4" s="23"/>
      <c r="E4" s="23"/>
      <c r="F4" s="221" t="s">
        <v>1</v>
      </c>
      <c r="G4" s="223" t="s">
        <v>2</v>
      </c>
      <c r="H4" s="224"/>
      <c r="I4" s="225" t="s">
        <v>3</v>
      </c>
      <c r="J4" s="226"/>
      <c r="K4" s="226"/>
      <c r="L4" s="226"/>
      <c r="M4" s="226"/>
      <c r="N4" s="227"/>
      <c r="O4" s="228" t="s">
        <v>4</v>
      </c>
      <c r="P4" s="228" t="s">
        <v>5</v>
      </c>
    </row>
    <row r="5" spans="1:16">
      <c r="A5" s="22"/>
      <c r="B5" s="22"/>
      <c r="C5" s="22"/>
      <c r="D5" s="23"/>
      <c r="E5" s="23"/>
      <c r="F5" s="222"/>
      <c r="G5" s="32" t="s">
        <v>6</v>
      </c>
      <c r="H5" s="32" t="s">
        <v>7</v>
      </c>
      <c r="I5" s="32" t="s">
        <v>8</v>
      </c>
      <c r="J5" s="32" t="s">
        <v>9</v>
      </c>
      <c r="K5" s="32" t="s">
        <v>10</v>
      </c>
      <c r="L5" s="32" t="s">
        <v>11</v>
      </c>
      <c r="M5" s="32" t="s">
        <v>12</v>
      </c>
      <c r="N5" s="32" t="s">
        <v>13</v>
      </c>
      <c r="O5" s="228"/>
      <c r="P5" s="228"/>
    </row>
    <row r="6" spans="1:16">
      <c r="A6" s="22"/>
      <c r="B6" s="22"/>
      <c r="C6" s="33"/>
      <c r="D6" s="232" t="s">
        <v>14</v>
      </c>
      <c r="E6" s="26" t="s">
        <v>15</v>
      </c>
      <c r="F6" s="27" t="str">
        <f>Tabulations!Q4</f>
        <v>Not Assessed</v>
      </c>
      <c r="G6" s="27">
        <f>Tabulations!N4</f>
        <v>0</v>
      </c>
      <c r="H6" s="27">
        <f>Tabulations!O4</f>
        <v>0</v>
      </c>
      <c r="I6" s="207">
        <f>IF(OR(Tabulations!F4=3,Tabulations!E4=2),0,IF(Tabulations!W4=MAX(Tabulations!$W4:$AA4),Tabulations!W4,0))</f>
        <v>0</v>
      </c>
      <c r="J6" s="207">
        <f>IF(OR(Tabulations!F4=3,Tabulations!E4=2),0,IF(Tabulations!X4=MAX(Tabulations!$W4:$AA4),Tabulations!X4,0))</f>
        <v>0</v>
      </c>
      <c r="K6" s="207">
        <f>IF(OR(Tabulations!F4=3,Tabulations!E4=2),0,IF(Tabulations!Y4=MAX(Tabulations!$W4:$AA4),Tabulations!Y4,0))</f>
        <v>0</v>
      </c>
      <c r="L6" s="207">
        <f>IF(OR(Tabulations!F4=3,Tabulations!E4=2),0,IF(Tabulations!Z4=MAX(Tabulations!$W4:$AA4),Tabulations!Z4,0))</f>
        <v>0</v>
      </c>
      <c r="M6" s="207">
        <f>IF(OR(Tabulations!F4=3,Tabulations!E4=2),0,IF(Tabulations!AA4=MAX(Tabulations!$W4:$AA4),Tabulations!AA4,0))</f>
        <v>0</v>
      </c>
      <c r="N6" s="28">
        <f>SUM(I6:M6)</f>
        <v>0</v>
      </c>
      <c r="O6" s="25">
        <f>Tabulations!S4</f>
        <v>26</v>
      </c>
      <c r="P6" s="25">
        <f>Points!H2</f>
        <v>26</v>
      </c>
    </row>
    <row r="7" spans="1:16">
      <c r="A7" s="22"/>
      <c r="B7" s="22"/>
      <c r="C7" s="34"/>
      <c r="D7" s="233"/>
      <c r="E7" s="26" t="s">
        <v>16</v>
      </c>
      <c r="F7" s="27" t="str">
        <f>Tabulations!Q5</f>
        <v>Not Assessed</v>
      </c>
      <c r="G7" s="27">
        <f>Tabulations!N5</f>
        <v>0</v>
      </c>
      <c r="H7" s="27">
        <f>Tabulations!O5</f>
        <v>0</v>
      </c>
      <c r="I7" s="207">
        <f>IF(OR(Tabulations!F5=3,Tabulations!E5=2),0,IF(Tabulations!W5=MAX(Tabulations!$W5:$AA5),Tabulations!W5,0))</f>
        <v>0</v>
      </c>
      <c r="J7" s="207">
        <f>IF(OR(Tabulations!F5=3,Tabulations!E5=2),0,IF(Tabulations!X5=MAX(Tabulations!$W5:$AA5),Tabulations!X5,0))</f>
        <v>0</v>
      </c>
      <c r="K7" s="207">
        <f>IF(OR(Tabulations!F5=3,Tabulations!E5=2),0,IF(Tabulations!Y5=MAX(Tabulations!$W5:$AA5),Tabulations!Y5,0))</f>
        <v>0</v>
      </c>
      <c r="L7" s="207">
        <f>IF(OR(Tabulations!F5=3,Tabulations!E5=2),0,IF(Tabulations!Z5=MAX(Tabulations!$W5:$AA5),Tabulations!Z5,0))</f>
        <v>0</v>
      </c>
      <c r="M7" s="207">
        <f>IF(OR(Tabulations!F5=3,Tabulations!E5=2),0,IF(Tabulations!AA5=MAX(Tabulations!$W5:$AA5),Tabulations!AA5,0))</f>
        <v>0</v>
      </c>
      <c r="N7" s="28">
        <f t="shared" ref="N7:N22" si="0">SUM(I7:M7)</f>
        <v>0</v>
      </c>
      <c r="O7" s="25">
        <f>Tabulations!S5</f>
        <v>20</v>
      </c>
      <c r="P7" s="25">
        <f>Points!H3</f>
        <v>20</v>
      </c>
    </row>
    <row r="8" spans="1:16">
      <c r="A8" s="22"/>
      <c r="B8" s="22"/>
      <c r="C8" s="34"/>
      <c r="D8" s="233"/>
      <c r="E8" s="26" t="s">
        <v>17</v>
      </c>
      <c r="F8" s="27" t="str">
        <f>Tabulations!Q6</f>
        <v>Not Assessed</v>
      </c>
      <c r="G8" s="27">
        <f>Tabulations!N6</f>
        <v>0</v>
      </c>
      <c r="H8" s="27">
        <f>Tabulations!O6</f>
        <v>0</v>
      </c>
      <c r="I8" s="207">
        <f>IF(OR(Tabulations!F6=3,Tabulations!E6=2),0,IF(Tabulations!W6=MAX(Tabulations!$W6:$AA6),Tabulations!W6,0))</f>
        <v>0</v>
      </c>
      <c r="J8" s="207">
        <f>IF(OR(Tabulations!F6=3,Tabulations!E6=2),0,IF(Tabulations!X6=MAX(Tabulations!$W6:$AA6),Tabulations!X6,0))</f>
        <v>0</v>
      </c>
      <c r="K8" s="207">
        <f>IF(OR(Tabulations!F6=3,Tabulations!E6=2),0,IF(Tabulations!Y6=MAX(Tabulations!$W6:$AA6),Tabulations!Y6,0))</f>
        <v>0</v>
      </c>
      <c r="L8" s="207">
        <f>IF(OR(Tabulations!F6=3,Tabulations!E6=2),0,IF(Tabulations!Z6=MAX(Tabulations!$W6:$AA6),Tabulations!Z6,0))</f>
        <v>0</v>
      </c>
      <c r="M8" s="207" t="s">
        <v>18</v>
      </c>
      <c r="N8" s="28">
        <f t="shared" si="0"/>
        <v>0</v>
      </c>
      <c r="O8" s="25">
        <f>Tabulations!S6</f>
        <v>14</v>
      </c>
      <c r="P8" s="25">
        <f>Points!H4</f>
        <v>14</v>
      </c>
    </row>
    <row r="9" spans="1:16">
      <c r="A9" s="22"/>
      <c r="B9" s="22"/>
      <c r="C9" s="34"/>
      <c r="D9" s="233"/>
      <c r="E9" s="26" t="s">
        <v>19</v>
      </c>
      <c r="F9" s="27" t="str">
        <f>Tabulations!Q7</f>
        <v>Not Assessed</v>
      </c>
      <c r="G9" s="27">
        <f>Tabulations!N7</f>
        <v>0</v>
      </c>
      <c r="H9" s="27">
        <f>Tabulations!O7</f>
        <v>0</v>
      </c>
      <c r="I9" s="207">
        <f>IF(OR(Tabulations!F7=3,Tabulations!E7=2),0,IF(Tabulations!W7=MAX(Tabulations!$W7:$AA7),Tabulations!W7,0))</f>
        <v>0</v>
      </c>
      <c r="J9" s="207">
        <f>IF(OR(Tabulations!F7=3,Tabulations!E7=2),0,IF(Tabulations!X7=MAX(Tabulations!$W7:$AA7),Tabulations!X7,0))</f>
        <v>0</v>
      </c>
      <c r="K9" s="207">
        <f>IF(OR(Tabulations!F7=3,Tabulations!E7=2),0,IF(Tabulations!Y7=MAX(Tabulations!$W7:$AA7),Tabulations!Y7,0))</f>
        <v>0</v>
      </c>
      <c r="L9" s="207">
        <f>IF(OR(Tabulations!F7=3,Tabulations!E7=2),0,IF(Tabulations!Z7=MAX(Tabulations!$W7:$AA7),Tabulations!Z7,0))</f>
        <v>0</v>
      </c>
      <c r="M9" s="207">
        <f>IF(OR(Tabulations!F7=3,Tabulations!E7=2),0,IF(Tabulations!AA7=MAX(Tabulations!$W7:$AA7),Tabulations!AA7,0))</f>
        <v>0</v>
      </c>
      <c r="N9" s="28">
        <f t="shared" si="0"/>
        <v>0</v>
      </c>
      <c r="O9" s="25">
        <f>Tabulations!S7</f>
        <v>12</v>
      </c>
      <c r="P9" s="25">
        <f>Points!H5</f>
        <v>12</v>
      </c>
    </row>
    <row r="10" spans="1:16">
      <c r="A10" s="22"/>
      <c r="B10" s="22"/>
      <c r="C10" s="34"/>
      <c r="D10" s="233"/>
      <c r="E10" s="26" t="s">
        <v>20</v>
      </c>
      <c r="F10" s="27" t="str">
        <f>Tabulations!Q8</f>
        <v>Not Assessed</v>
      </c>
      <c r="G10" s="27">
        <f>Tabulations!N8</f>
        <v>0</v>
      </c>
      <c r="H10" s="27">
        <f>Tabulations!O8</f>
        <v>0</v>
      </c>
      <c r="I10" s="207">
        <f>IF(OR(Tabulations!F8=3,Tabulations!E8=2),0,IF(Tabulations!W8=MAX(Tabulations!$W8:$AA8),Tabulations!W8,0))</f>
        <v>0</v>
      </c>
      <c r="J10" s="207">
        <f>IF(OR(Tabulations!F8=3,Tabulations!E8=2),0,IF(Tabulations!X8=MAX(Tabulations!$W8:$AA8),Tabulations!X8,0))</f>
        <v>0</v>
      </c>
      <c r="K10" s="207">
        <f>IF(OR(Tabulations!F8=3,Tabulations!E8=2),0,IF(Tabulations!Y8=MAX(Tabulations!$W8:$AA8),Tabulations!Y8,0))</f>
        <v>0</v>
      </c>
      <c r="L10" s="207">
        <f>IF(OR(Tabulations!F8=3,Tabulations!E8=2),0,IF(Tabulations!Z8=MAX(Tabulations!$W8:$AA8),Tabulations!Z8,0))</f>
        <v>0</v>
      </c>
      <c r="M10" s="207">
        <f>IF(OR(Tabulations!F8=3,Tabulations!E8=2),0,IF(Tabulations!AA8=MAX(Tabulations!$W8:$AA8),Tabulations!AA8,0))</f>
        <v>0</v>
      </c>
      <c r="N10" s="28">
        <f t="shared" si="0"/>
        <v>0</v>
      </c>
      <c r="O10" s="25">
        <f>Tabulations!S8</f>
        <v>12</v>
      </c>
      <c r="P10" s="25">
        <f>Points!H6</f>
        <v>12</v>
      </c>
    </row>
    <row r="11" spans="1:16">
      <c r="A11" s="22"/>
      <c r="B11" s="22"/>
      <c r="C11" s="34"/>
      <c r="D11" s="234"/>
      <c r="E11" s="26" t="s">
        <v>21</v>
      </c>
      <c r="F11" s="27" t="str">
        <f>Tabulations!Q9</f>
        <v>Not Assessed</v>
      </c>
      <c r="G11" s="27">
        <f>Tabulations!N9</f>
        <v>0</v>
      </c>
      <c r="H11" s="27">
        <f>Tabulations!O9</f>
        <v>0</v>
      </c>
      <c r="I11" s="207">
        <f>IF(OR(Tabulations!F9=3,Tabulations!E9=2),0,IF(Tabulations!W9=MAX(Tabulations!$W9:$AA9),Tabulations!W9,0))</f>
        <v>0</v>
      </c>
      <c r="J11" s="207">
        <f>IF(OR(Tabulations!F9=3,Tabulations!E9=2),0,IF(Tabulations!X9=MAX(Tabulations!$W9:$AA9),Tabulations!X9,0))</f>
        <v>0</v>
      </c>
      <c r="K11" s="207">
        <f>IF(OR(Tabulations!F9=3,Tabulations!E9=2),0,IF(Tabulations!Y9=MAX(Tabulations!$W9:$AA9),Tabulations!Y9,0))</f>
        <v>0</v>
      </c>
      <c r="L11" s="207">
        <f>IF(OR(Tabulations!F9=3,Tabulations!E9=2),0,IF(Tabulations!Z9=MAX(Tabulations!$W9:$AA9),Tabulations!Z9,0))</f>
        <v>0</v>
      </c>
      <c r="M11" s="207" t="s">
        <v>18</v>
      </c>
      <c r="N11" s="28">
        <f t="shared" si="0"/>
        <v>0</v>
      </c>
      <c r="O11" s="25">
        <f>Tabulations!S9</f>
        <v>8</v>
      </c>
      <c r="P11" s="25">
        <f>Points!H7</f>
        <v>8</v>
      </c>
    </row>
    <row r="12" spans="1:16">
      <c r="A12" s="22"/>
      <c r="B12" s="22"/>
      <c r="C12" s="34"/>
      <c r="D12" s="232" t="s">
        <v>22</v>
      </c>
      <c r="E12" s="26" t="s">
        <v>23</v>
      </c>
      <c r="F12" s="27" t="str">
        <f>Tabulations!Q10</f>
        <v>Not Assessed</v>
      </c>
      <c r="G12" s="27">
        <f>Tabulations!N10</f>
        <v>0</v>
      </c>
      <c r="H12" s="27">
        <f>Tabulations!O10</f>
        <v>0</v>
      </c>
      <c r="I12" s="207">
        <f>IF(OR(Tabulations!F10=3,Tabulations!E10=2),0,IF(Tabulations!W10=MAX(Tabulations!$W10:$AA10),Tabulations!W10,0))</f>
        <v>0</v>
      </c>
      <c r="J12" s="207">
        <f>IF(OR(Tabulations!F10=3,Tabulations!E10=2),0,IF(Tabulations!X10=MAX(Tabulations!$W10:$AA10),Tabulations!X10,0))</f>
        <v>0</v>
      </c>
      <c r="K12" s="207">
        <f>IF(OR(Tabulations!F10=3,Tabulations!E10=2),0,IF(Tabulations!Y10=MAX(Tabulations!$W10:$AA10),Tabulations!Y10,0))</f>
        <v>0</v>
      </c>
      <c r="L12" s="207">
        <f>IF(OR(Tabulations!F10=3,Tabulations!E10=2),0,IF(Tabulations!Z10=MAX(Tabulations!$W10:$AA10),Tabulations!Z10,0))</f>
        <v>0</v>
      </c>
      <c r="M12" s="207">
        <f>IF(OR(Tabulations!F10=3,Tabulations!E10=2),0,IF(Tabulations!AA10=MAX(Tabulations!$W10:$AA10),Tabulations!AA10,0))</f>
        <v>0</v>
      </c>
      <c r="N12" s="28">
        <f t="shared" si="0"/>
        <v>0</v>
      </c>
      <c r="O12" s="25">
        <f>Tabulations!S10</f>
        <v>14</v>
      </c>
      <c r="P12" s="25">
        <f>Points!H8</f>
        <v>14</v>
      </c>
    </row>
    <row r="13" spans="1:16">
      <c r="A13" s="22"/>
      <c r="B13" s="22"/>
      <c r="C13" s="36" t="s">
        <v>24</v>
      </c>
      <c r="D13" s="233"/>
      <c r="E13" s="26" t="s">
        <v>25</v>
      </c>
      <c r="F13" s="27" t="str">
        <f>Tabulations!Q11</f>
        <v>Not Assessed</v>
      </c>
      <c r="G13" s="27">
        <f>Tabulations!N11</f>
        <v>0</v>
      </c>
      <c r="H13" s="27">
        <f>Tabulations!O11</f>
        <v>0</v>
      </c>
      <c r="I13" s="207" t="s">
        <v>18</v>
      </c>
      <c r="J13" s="207">
        <f>IF(OR(Tabulations!F11=3,Tabulations!E11=2),0,IF(Tabulations!X11=MAX(Tabulations!$W11:$AA11),Tabulations!X11,0))</f>
        <v>0</v>
      </c>
      <c r="K13" s="207">
        <f>IF(OR(Tabulations!F11=3,Tabulations!E11=2),0,IF(Tabulations!Y11=MAX(Tabulations!$W11:$AA11),Tabulations!Y11,0))</f>
        <v>0</v>
      </c>
      <c r="L13" s="207">
        <f>IF(OR(Tabulations!F11=3,Tabulations!E11=2),0,IF(Tabulations!Z11=MAX(Tabulations!$W11:$AA11),Tabulations!Z11,0))</f>
        <v>0</v>
      </c>
      <c r="M13" s="207">
        <f>IF(OR(Tabulations!F11=3,Tabulations!E11=2),0,IF(Tabulations!AA11=MAX(Tabulations!$W11:$AA11),Tabulations!AA11,0))</f>
        <v>0</v>
      </c>
      <c r="N13" s="28">
        <f t="shared" si="0"/>
        <v>0</v>
      </c>
      <c r="O13" s="25">
        <f>Tabulations!S11</f>
        <v>16</v>
      </c>
      <c r="P13" s="25">
        <f>Points!H9</f>
        <v>16</v>
      </c>
    </row>
    <row r="14" spans="1:16">
      <c r="A14" s="22"/>
      <c r="B14" s="22"/>
      <c r="C14" s="36"/>
      <c r="D14" s="233"/>
      <c r="E14" s="26" t="s">
        <v>26</v>
      </c>
      <c r="F14" s="27" t="str">
        <f>Tabulations!Q12</f>
        <v>Not Assessed</v>
      </c>
      <c r="G14" s="27">
        <f>Tabulations!N12</f>
        <v>0</v>
      </c>
      <c r="H14" s="27">
        <f>Tabulations!O12</f>
        <v>0</v>
      </c>
      <c r="I14" s="207">
        <f>IF(OR(Tabulations!F12=3,Tabulations!E12=2),0,IF(Tabulations!W12=MAX(Tabulations!$W12:$AA12),Tabulations!W12,0))</f>
        <v>0</v>
      </c>
      <c r="J14" s="207">
        <f>IF(OR(Tabulations!F12=3,Tabulations!E12=2),0,IF(Tabulations!X12=MAX(Tabulations!$W12:$AA12),Tabulations!X12,0))</f>
        <v>0</v>
      </c>
      <c r="K14" s="207">
        <f>IF(OR(Tabulations!F12=3,Tabulations!E12=2),0,IF(Tabulations!Y12=MAX(Tabulations!$W12:$AA12),Tabulations!Y12,0))</f>
        <v>0</v>
      </c>
      <c r="L14" s="207">
        <f>IF(OR(Tabulations!F12=3,Tabulations!E12=2),0,IF(Tabulations!Z12=MAX(Tabulations!$W12:$AA12),Tabulations!Z12,0))</f>
        <v>0</v>
      </c>
      <c r="M14" s="207" t="s">
        <v>18</v>
      </c>
      <c r="N14" s="28">
        <f t="shared" si="0"/>
        <v>0</v>
      </c>
      <c r="O14" s="25">
        <f>Tabulations!S12</f>
        <v>14</v>
      </c>
      <c r="P14" s="25">
        <f>Points!H10</f>
        <v>14</v>
      </c>
    </row>
    <row r="15" spans="1:16">
      <c r="A15" s="22"/>
      <c r="B15" s="22"/>
      <c r="C15" s="34"/>
      <c r="D15" s="232" t="s">
        <v>27</v>
      </c>
      <c r="E15" s="26" t="s">
        <v>28</v>
      </c>
      <c r="F15" s="27" t="str">
        <f>Tabulations!Q13</f>
        <v>Not Assessed</v>
      </c>
      <c r="G15" s="27">
        <f>Tabulations!N13</f>
        <v>0</v>
      </c>
      <c r="H15" s="27">
        <f>Tabulations!O13</f>
        <v>0</v>
      </c>
      <c r="I15" s="207">
        <f>IF(OR(Tabulations!F13=3,Tabulations!E13=2),0,IF(Tabulations!W13=MAX(Tabulations!$W13:$AA13),Tabulations!W13,0))</f>
        <v>0</v>
      </c>
      <c r="J15" s="207">
        <f>IF(OR(Tabulations!F13=3,Tabulations!E13=2),0,IF(Tabulations!X13=MAX(Tabulations!$W13:$AA13),Tabulations!X13,0))</f>
        <v>0</v>
      </c>
      <c r="K15" s="207">
        <f>IF(OR(Tabulations!F13=3,Tabulations!E13=2),0,IF(Tabulations!Y13=MAX(Tabulations!$W13:$AA13),Tabulations!Y13,0))</f>
        <v>0</v>
      </c>
      <c r="L15" s="207">
        <f>IF(OR(Tabulations!F13=3,Tabulations!E13=2),0,IF(Tabulations!Z13=MAX(Tabulations!$W13:$AA13),Tabulations!Z13,0))</f>
        <v>0</v>
      </c>
      <c r="M15" s="207">
        <f>IF(OR(Tabulations!F13=3,Tabulations!E13=2),0,IF(Tabulations!AA13=MAX(Tabulations!$W13:$AA13),Tabulations!AA13,0))</f>
        <v>0</v>
      </c>
      <c r="N15" s="28">
        <f t="shared" si="0"/>
        <v>0</v>
      </c>
      <c r="O15" s="25">
        <f>Tabulations!S13</f>
        <v>18</v>
      </c>
      <c r="P15" s="25">
        <f>Points!H11</f>
        <v>18</v>
      </c>
    </row>
    <row r="16" spans="1:16">
      <c r="A16" s="22"/>
      <c r="B16" s="22"/>
      <c r="C16" s="34"/>
      <c r="D16" s="233"/>
      <c r="E16" s="26" t="s">
        <v>29</v>
      </c>
      <c r="F16" s="27" t="str">
        <f>Tabulations!Q14</f>
        <v>Not Assessed</v>
      </c>
      <c r="G16" s="27">
        <f>Tabulations!N14</f>
        <v>0</v>
      </c>
      <c r="H16" s="27">
        <f>Tabulations!O14</f>
        <v>0</v>
      </c>
      <c r="I16" s="207" t="s">
        <v>18</v>
      </c>
      <c r="J16" s="207">
        <f>IF(OR(Tabulations!F14=3,Tabulations!E14=2),0,IF(Tabulations!X14=MAX(Tabulations!$W14:$AA14),Tabulations!X14,0))</f>
        <v>0</v>
      </c>
      <c r="K16" s="207">
        <f>IF(OR(Tabulations!F14=3,Tabulations!E14=2),0,IF(Tabulations!Y14=MAX(Tabulations!$W14:$AA14),Tabulations!Y14,0))</f>
        <v>0</v>
      </c>
      <c r="L16" s="207">
        <f>IF(OR(Tabulations!F14=3,Tabulations!E14=2),0,IF(Tabulations!Z14=MAX(Tabulations!$W14:$AA14),Tabulations!Z14,0))</f>
        <v>0</v>
      </c>
      <c r="M16" s="207">
        <f>IF(OR(Tabulations!F14=3,Tabulations!E14=2),0,IF(Tabulations!AA14=MAX(Tabulations!$W14:$AA14),Tabulations!AA14,0))</f>
        <v>0</v>
      </c>
      <c r="N16" s="28">
        <f t="shared" si="0"/>
        <v>0</v>
      </c>
      <c r="O16" s="25">
        <f>Tabulations!S14</f>
        <v>18</v>
      </c>
      <c r="P16" s="25">
        <f>Points!H12</f>
        <v>18</v>
      </c>
    </row>
    <row r="17" spans="1:16">
      <c r="A17" s="22"/>
      <c r="B17" s="22"/>
      <c r="C17" s="34"/>
      <c r="D17" s="233"/>
      <c r="E17" s="26" t="s">
        <v>30</v>
      </c>
      <c r="F17" s="27" t="str">
        <f>Tabulations!Q15</f>
        <v>Not Assessed</v>
      </c>
      <c r="G17" s="27">
        <f>Tabulations!N15</f>
        <v>0</v>
      </c>
      <c r="H17" s="27">
        <f>Tabulations!O15</f>
        <v>0</v>
      </c>
      <c r="I17" s="207">
        <f>IF(OR(Tabulations!F15=3,Tabulations!E15=2),0,IF(Tabulations!W15=MAX(Tabulations!$W15:$AA15),Tabulations!W15,0))</f>
        <v>0</v>
      </c>
      <c r="J17" s="207">
        <f>IF(OR(Tabulations!F15=3,Tabulations!E15=2),0,IF(Tabulations!X15=MAX(Tabulations!$W15:$AA15),Tabulations!X15,0))</f>
        <v>0</v>
      </c>
      <c r="K17" s="207">
        <f>IF(OR(Tabulations!F15=3,Tabulations!E15=2),0,IF(Tabulations!Y15=MAX(Tabulations!$W15:$AA15),Tabulations!Y15,0))</f>
        <v>0</v>
      </c>
      <c r="L17" s="207">
        <f>IF(OR(Tabulations!F15=3,Tabulations!E15=2),0,IF(Tabulations!Z15=MAX(Tabulations!$W15:$AA15),Tabulations!Z15,0))</f>
        <v>0</v>
      </c>
      <c r="M17" s="207">
        <f>IF(OR(Tabulations!F15=3,Tabulations!E15=2),0,IF(Tabulations!AA15=MAX(Tabulations!$W15:$AA15),Tabulations!AA15,0))</f>
        <v>0</v>
      </c>
      <c r="N17" s="28">
        <f t="shared" si="0"/>
        <v>0</v>
      </c>
      <c r="O17" s="25">
        <f>Tabulations!S15</f>
        <v>14</v>
      </c>
      <c r="P17" s="25">
        <f>Points!H13</f>
        <v>14</v>
      </c>
    </row>
    <row r="18" spans="1:16">
      <c r="A18" s="22"/>
      <c r="B18" s="22"/>
      <c r="C18" s="35"/>
      <c r="D18" s="234"/>
      <c r="E18" s="26" t="s">
        <v>31</v>
      </c>
      <c r="F18" s="27" t="str">
        <f>Tabulations!Q16</f>
        <v>Not Assessed</v>
      </c>
      <c r="G18" s="27">
        <f>Tabulations!N16</f>
        <v>0</v>
      </c>
      <c r="H18" s="27">
        <f>Tabulations!O16</f>
        <v>0</v>
      </c>
      <c r="I18" s="207">
        <f>IF(OR(Tabulations!F16=3,Tabulations!E16=2),0,IF(Tabulations!W16=MAX(Tabulations!$W16:$AA16),Tabulations!W16,0))</f>
        <v>0</v>
      </c>
      <c r="J18" s="207">
        <f>IF(OR(Tabulations!F16=3,Tabulations!E16=2),0,IF(Tabulations!X16=MAX(Tabulations!$W16:$AA16),Tabulations!X16,0))</f>
        <v>0</v>
      </c>
      <c r="K18" s="207">
        <f>IF(OR(Tabulations!F16=3,Tabulations!E16=2),0,IF(Tabulations!Y16=MAX(Tabulations!$W16:$AA16),Tabulations!Y16,0))</f>
        <v>0</v>
      </c>
      <c r="L18" s="207">
        <f>IF(OR(Tabulations!F16=3,Tabulations!E16=2),0,IF(Tabulations!Z16=MAX(Tabulations!$W16:$AA16),Tabulations!Z16,0))</f>
        <v>0</v>
      </c>
      <c r="M18" s="207">
        <f>IF(OR(Tabulations!F16=3,Tabulations!E16=2),0,IF(Tabulations!AA16=MAX(Tabulations!$W16:$AA16),Tabulations!AA16,0))</f>
        <v>0</v>
      </c>
      <c r="N18" s="28">
        <f t="shared" si="0"/>
        <v>0</v>
      </c>
      <c r="O18" s="25">
        <f>Tabulations!S16</f>
        <v>14</v>
      </c>
      <c r="P18" s="25">
        <f>Points!H14</f>
        <v>14</v>
      </c>
    </row>
    <row r="19" spans="1:16">
      <c r="A19" s="22"/>
      <c r="B19" s="22"/>
      <c r="C19" s="22"/>
      <c r="D19" s="48"/>
      <c r="E19" s="48"/>
      <c r="F19" s="48"/>
      <c r="G19" s="48"/>
      <c r="H19" s="48"/>
      <c r="I19" s="48"/>
      <c r="J19" s="48"/>
      <c r="K19" s="48"/>
      <c r="L19" s="48"/>
      <c r="M19" s="48"/>
      <c r="N19" s="48"/>
      <c r="O19" s="48"/>
      <c r="P19" s="48"/>
    </row>
    <row r="20" spans="1:16" ht="23.1" customHeight="1">
      <c r="A20" s="22"/>
      <c r="B20" s="22"/>
      <c r="C20" s="22"/>
      <c r="D20" s="48"/>
      <c r="E20" s="48"/>
      <c r="F20" s="221" t="s">
        <v>1</v>
      </c>
      <c r="G20" s="223" t="s">
        <v>2</v>
      </c>
      <c r="H20" s="224"/>
      <c r="I20" s="225" t="s">
        <v>3</v>
      </c>
      <c r="J20" s="226"/>
      <c r="K20" s="226"/>
      <c r="L20" s="226"/>
      <c r="M20" s="226"/>
      <c r="N20" s="227"/>
      <c r="O20" s="228" t="s">
        <v>4</v>
      </c>
      <c r="P20" s="228" t="s">
        <v>5</v>
      </c>
    </row>
    <row r="21" spans="1:16">
      <c r="A21" s="22"/>
      <c r="B21" s="22"/>
      <c r="C21" s="22"/>
      <c r="D21" s="23"/>
      <c r="E21" s="29"/>
      <c r="F21" s="222"/>
      <c r="G21" s="32" t="s">
        <v>6</v>
      </c>
      <c r="H21" s="32" t="s">
        <v>7</v>
      </c>
      <c r="I21" s="32" t="s">
        <v>8</v>
      </c>
      <c r="J21" s="32" t="s">
        <v>9</v>
      </c>
      <c r="K21" s="32" t="s">
        <v>10</v>
      </c>
      <c r="L21" s="32" t="s">
        <v>11</v>
      </c>
      <c r="M21" s="32" t="s">
        <v>12</v>
      </c>
      <c r="N21" s="32" t="s">
        <v>13</v>
      </c>
      <c r="O21" s="228"/>
      <c r="P21" s="228"/>
    </row>
    <row r="22" spans="1:16">
      <c r="A22" s="22"/>
      <c r="B22" s="22"/>
      <c r="C22" s="33"/>
      <c r="D22" s="229" t="s">
        <v>32</v>
      </c>
      <c r="E22" s="26" t="s">
        <v>33</v>
      </c>
      <c r="F22" s="27" t="str">
        <f>Tabulations!Q19</f>
        <v>Not Assessed</v>
      </c>
      <c r="G22" s="27">
        <f>Tabulations!N19</f>
        <v>0</v>
      </c>
      <c r="H22" s="27">
        <f>Tabulations!O19</f>
        <v>0</v>
      </c>
      <c r="I22" s="207">
        <f>IF(OR(Tabulations!F19=3,Tabulations!E19=2),0,IF(Tabulations!W19=MAX(Tabulations!$W19:$AA19),Tabulations!W19,0))</f>
        <v>0</v>
      </c>
      <c r="J22" s="207">
        <f>IF(OR(Tabulations!F19=3,Tabulations!E19=2),0,IF(Tabulations!X19=MAX(Tabulations!$W19:$AA19),Tabulations!X19,0))</f>
        <v>0</v>
      </c>
      <c r="K22" s="207">
        <f>IF(OR(Tabulations!F19=3,Tabulations!E19=2),0,IF(Tabulations!Y19=MAX(Tabulations!$W19:$AA19),Tabulations!Y19,0))</f>
        <v>0</v>
      </c>
      <c r="L22" s="207">
        <f>IF(OR(Tabulations!F19=3,Tabulations!E19=2),0,IF(Tabulations!Z19=MAX(Tabulations!$W19:$AA19),Tabulations!Z19,0))</f>
        <v>0</v>
      </c>
      <c r="M22" s="207" t="s">
        <v>18</v>
      </c>
      <c r="N22" s="28">
        <f t="shared" si="0"/>
        <v>0</v>
      </c>
      <c r="O22" s="25">
        <f>Tabulations!S19</f>
        <v>18</v>
      </c>
      <c r="P22" s="25">
        <f>Points!H15</f>
        <v>18</v>
      </c>
    </row>
    <row r="23" spans="1:16">
      <c r="A23" s="22"/>
      <c r="B23" s="22"/>
      <c r="C23" s="34"/>
      <c r="D23" s="230"/>
      <c r="E23" s="26" t="s">
        <v>34</v>
      </c>
      <c r="F23" s="27" t="str">
        <f>Tabulations!Q20</f>
        <v>Not Assessed</v>
      </c>
      <c r="G23" s="27">
        <f>Tabulations!N20</f>
        <v>0</v>
      </c>
      <c r="H23" s="27">
        <f>Tabulations!O20</f>
        <v>0</v>
      </c>
      <c r="I23" s="207">
        <f>IF(OR(Tabulations!F20=3,Tabulations!E20=2),0,IF(Tabulations!W20=MAX(Tabulations!$W20:$AA20),Tabulations!W20,0))</f>
        <v>0</v>
      </c>
      <c r="J23" s="207">
        <f>IF(OR(Tabulations!F20=3,Tabulations!E20=2),0,IF(Tabulations!X20=MAX(Tabulations!$W20:$AA20),Tabulations!X20,0))</f>
        <v>0</v>
      </c>
      <c r="K23" s="207">
        <f>IF(OR(Tabulations!F20=3,Tabulations!E20=2),0,IF(Tabulations!Y20=MAX(Tabulations!$W20:$AA20),Tabulations!Y20,0))</f>
        <v>0</v>
      </c>
      <c r="L23" s="207">
        <f>IF(OR(Tabulations!F20=3,Tabulations!E20=2),0,IF(Tabulations!Z20=MAX(Tabulations!$W20:$AA20),Tabulations!Z20,0))</f>
        <v>0</v>
      </c>
      <c r="M23" s="207" t="s">
        <v>18</v>
      </c>
      <c r="N23" s="28">
        <f t="shared" ref="N23:N36" si="1">SUM(I23:M23)</f>
        <v>0</v>
      </c>
      <c r="O23" s="25">
        <f>Tabulations!S20</f>
        <v>18</v>
      </c>
      <c r="P23" s="25">
        <f>Points!H16</f>
        <v>18</v>
      </c>
    </row>
    <row r="24" spans="1:16">
      <c r="A24" s="22"/>
      <c r="B24" s="22"/>
      <c r="C24" s="34"/>
      <c r="D24" s="230"/>
      <c r="E24" s="26" t="s">
        <v>35</v>
      </c>
      <c r="F24" s="27" t="str">
        <f>Tabulations!Q21</f>
        <v>Not Assessed</v>
      </c>
      <c r="G24" s="27">
        <f>Tabulations!N21</f>
        <v>0</v>
      </c>
      <c r="H24" s="27">
        <f>Tabulations!O21</f>
        <v>0</v>
      </c>
      <c r="I24" s="207">
        <f>IF(OR(Tabulations!F21=3,Tabulations!E21=2),0,IF(Tabulations!W21=MAX(Tabulations!$W21:$AA21),Tabulations!W21,0))</f>
        <v>0</v>
      </c>
      <c r="J24" s="207">
        <f>IF(OR(Tabulations!F21=3,Tabulations!E21=2),0,IF(Tabulations!X21=MAX(Tabulations!$W21:$AA21),Tabulations!X21,0))</f>
        <v>0</v>
      </c>
      <c r="K24" s="207">
        <f>IF(OR(Tabulations!F21=3,Tabulations!E21=2),0,IF(Tabulations!Y21=MAX(Tabulations!$W21:$AA21),Tabulations!Y21,0))</f>
        <v>0</v>
      </c>
      <c r="L24" s="207">
        <f>IF(OR(Tabulations!$F21=3,Tabulations!$E21=2),0,IF(Tabulations!Z21=MAX(Tabulations!$W21:$AA21),Tabulations!Z21,0))</f>
        <v>0</v>
      </c>
      <c r="M24" s="207">
        <f>IF(OR(Tabulations!$F21=3,Tabulations!$E21=2),0,IF(Tabulations!AA21=MAX(Tabulations!$W21:$AA21),Tabulations!AA21,0))</f>
        <v>0</v>
      </c>
      <c r="N24" s="28">
        <f t="shared" si="1"/>
        <v>0</v>
      </c>
      <c r="O24" s="25">
        <f>Tabulations!S21</f>
        <v>18</v>
      </c>
      <c r="P24" s="25">
        <f>Points!H17</f>
        <v>18</v>
      </c>
    </row>
    <row r="25" spans="1:16">
      <c r="A25" s="22"/>
      <c r="B25" s="22"/>
      <c r="C25" s="34"/>
      <c r="D25" s="231"/>
      <c r="E25" s="26" t="s">
        <v>36</v>
      </c>
      <c r="F25" s="27" t="str">
        <f>Tabulations!Q22</f>
        <v>Not Assessed</v>
      </c>
      <c r="G25" s="27">
        <f>Tabulations!N22</f>
        <v>0</v>
      </c>
      <c r="H25" s="27">
        <f>Tabulations!O22</f>
        <v>0</v>
      </c>
      <c r="I25" s="207">
        <f>IF(OR(Tabulations!F22=3,Tabulations!E22=2),0,IF(Tabulations!W22=MAX(Tabulations!$W22:$AA22),Tabulations!W22,0))</f>
        <v>0</v>
      </c>
      <c r="J25" s="207">
        <f>IF(OR(Tabulations!F22=3,Tabulations!E22=2),0,IF(Tabulations!X22=MAX(Tabulations!$W22:$AA22),Tabulations!X22,0))</f>
        <v>0</v>
      </c>
      <c r="K25" s="207">
        <f>IF(OR(Tabulations!F22=3,Tabulations!E22=2),0,IF(Tabulations!Y22=MAX(Tabulations!$W22:$AA22),Tabulations!Y22,0))</f>
        <v>0</v>
      </c>
      <c r="L25" s="207">
        <f>IF(OR(Tabulations!F22=3,Tabulations!E22=2),0,IF(Tabulations!Z22=MAX(Tabulations!$W22:$AA22),Tabulations!Z22,0))</f>
        <v>0</v>
      </c>
      <c r="M25" s="207">
        <f>IF(OR(Tabulations!$F22=3,Tabulations!$E22=2),0,IF(Tabulations!AA22=MAX(Tabulations!$W22:$AA22),Tabulations!AA22,0))</f>
        <v>0</v>
      </c>
      <c r="N25" s="28">
        <f t="shared" si="1"/>
        <v>0</v>
      </c>
      <c r="O25" s="25">
        <f>Tabulations!S22</f>
        <v>18</v>
      </c>
      <c r="P25" s="25">
        <f>Points!H18</f>
        <v>18</v>
      </c>
    </row>
    <row r="26" spans="1:16">
      <c r="A26" s="22"/>
      <c r="B26" s="22"/>
      <c r="C26" s="34"/>
      <c r="D26" s="229" t="s">
        <v>37</v>
      </c>
      <c r="E26" s="26" t="s">
        <v>38</v>
      </c>
      <c r="F26" s="27" t="str">
        <f>Tabulations!Q23</f>
        <v>Not Assessed</v>
      </c>
      <c r="G26" s="27">
        <f>Tabulations!N23</f>
        <v>0</v>
      </c>
      <c r="H26" s="27">
        <f>Tabulations!O23</f>
        <v>0</v>
      </c>
      <c r="I26" s="207">
        <f>IF(OR(Tabulations!F23=3,Tabulations!E23=2),0,IF(Tabulations!W23=MAX(Tabulations!$W23:$AA23),Tabulations!W23,0))</f>
        <v>0</v>
      </c>
      <c r="J26" s="207">
        <f>IF(OR(Tabulations!F23=3,Tabulations!E23=2),0,IF(Tabulations!X23=MAX(Tabulations!$W23:$AA23),Tabulations!X23,0))</f>
        <v>0</v>
      </c>
      <c r="K26" s="207">
        <f>IF(OR(Tabulations!F23=3,Tabulations!E23=2),0,IF(Tabulations!Y23=MAX(Tabulations!$W23:$AA23),Tabulations!Y23,0))</f>
        <v>0</v>
      </c>
      <c r="L26" s="207">
        <f>IF(OR(Tabulations!F23=3,Tabulations!E23=2),0,IF(Tabulations!Z23=MAX(Tabulations!$W23:$AA23),Tabulations!Z23,0))</f>
        <v>0</v>
      </c>
      <c r="M26" s="207" t="s">
        <v>18</v>
      </c>
      <c r="N26" s="28">
        <f t="shared" si="1"/>
        <v>0</v>
      </c>
      <c r="O26" s="25">
        <f>Tabulations!S23</f>
        <v>18</v>
      </c>
      <c r="P26" s="25">
        <f>Points!H19</f>
        <v>18</v>
      </c>
    </row>
    <row r="27" spans="1:16">
      <c r="A27" s="22"/>
      <c r="B27" s="22"/>
      <c r="C27" s="34"/>
      <c r="D27" s="230"/>
      <c r="E27" s="26" t="s">
        <v>39</v>
      </c>
      <c r="F27" s="27" t="str">
        <f>Tabulations!Q24</f>
        <v>Not Assessed</v>
      </c>
      <c r="G27" s="27">
        <f>Tabulations!N24</f>
        <v>0</v>
      </c>
      <c r="H27" s="27">
        <f>Tabulations!O24</f>
        <v>0</v>
      </c>
      <c r="I27" s="207">
        <f>IF(OR(Tabulations!F24=3,Tabulations!E24=2),0,IF(Tabulations!W24=MAX(Tabulations!$W24:$AA24),Tabulations!W24,0))</f>
        <v>0</v>
      </c>
      <c r="J27" s="207">
        <f>IF(OR(Tabulations!F24=3,Tabulations!E24=2),0,IF(Tabulations!X24=MAX(Tabulations!$W24:$AA24),Tabulations!X24,0))</f>
        <v>0</v>
      </c>
      <c r="K27" s="207">
        <f>IF(OR(Tabulations!F24=3,Tabulations!E24=2),0,IF(Tabulations!Y24=MAX(Tabulations!$W24:$AA24),Tabulations!Y24,0))</f>
        <v>0</v>
      </c>
      <c r="L27" s="207">
        <f>IF(OR(Tabulations!F24=3,Tabulations!E24=2),0,IF(Tabulations!Z24=MAX(Tabulations!$W24:$AA24),Tabulations!Z24,0))</f>
        <v>0</v>
      </c>
      <c r="M27" s="207">
        <f>IF(OR(Tabulations!$F24=3,Tabulations!$E24=2),0,IF(Tabulations!AA24=MAX(Tabulations!$W24:$AA24),Tabulations!AA24,0))</f>
        <v>0</v>
      </c>
      <c r="N27" s="28">
        <f t="shared" si="1"/>
        <v>0</v>
      </c>
      <c r="O27" s="25">
        <f>Tabulations!S24</f>
        <v>16</v>
      </c>
      <c r="P27" s="25">
        <f>Points!H20</f>
        <v>16</v>
      </c>
    </row>
    <row r="28" spans="1:16">
      <c r="A28" s="22"/>
      <c r="B28" s="22"/>
      <c r="C28" s="53" t="s">
        <v>40</v>
      </c>
      <c r="D28" s="230"/>
      <c r="E28" s="26" t="s">
        <v>41</v>
      </c>
      <c r="F28" s="27" t="str">
        <f>Tabulations!Q25</f>
        <v>Not Assessed</v>
      </c>
      <c r="G28" s="27">
        <f>Tabulations!N25</f>
        <v>0</v>
      </c>
      <c r="H28" s="27">
        <f>Tabulations!O25</f>
        <v>0</v>
      </c>
      <c r="I28" s="207">
        <f>IF(OR(Tabulations!F25=3,Tabulations!E25=2),0,IF(Tabulations!W25=MAX(Tabulations!$W25:$AA25),Tabulations!W25,0))</f>
        <v>0</v>
      </c>
      <c r="J28" s="207">
        <f>IF(OR(Tabulations!F25=3,Tabulations!E25=2),0,IF(Tabulations!X25=MAX(Tabulations!$W25:$AA25),Tabulations!X25,0))</f>
        <v>0</v>
      </c>
      <c r="K28" s="207">
        <f>IF(OR(Tabulations!F25=3,Tabulations!E25=2),0,IF(Tabulations!Y25=MAX(Tabulations!$W25:$AA25),Tabulations!Y25,0))</f>
        <v>0</v>
      </c>
      <c r="L28" s="207">
        <f>IF(OR(Tabulations!F25=3,Tabulations!E25=2),0,IF(Tabulations!Z25=MAX(Tabulations!$W25:$AA25),Tabulations!Z25,0))</f>
        <v>0</v>
      </c>
      <c r="M28" s="207" t="s">
        <v>18</v>
      </c>
      <c r="N28" s="28">
        <f t="shared" si="1"/>
        <v>0</v>
      </c>
      <c r="O28" s="25">
        <f>Tabulations!S25</f>
        <v>12</v>
      </c>
      <c r="P28" s="25">
        <f>Points!H21</f>
        <v>12</v>
      </c>
    </row>
    <row r="29" spans="1:16">
      <c r="A29" s="22"/>
      <c r="B29" s="22"/>
      <c r="C29" s="34"/>
      <c r="D29" s="231"/>
      <c r="E29" s="26" t="s">
        <v>42</v>
      </c>
      <c r="F29" s="27" t="str">
        <f>Tabulations!Q26</f>
        <v>Not Assessed</v>
      </c>
      <c r="G29" s="27">
        <f>Tabulations!N26</f>
        <v>0</v>
      </c>
      <c r="H29" s="27">
        <f>Tabulations!O26</f>
        <v>0</v>
      </c>
      <c r="I29" s="207">
        <f>IF(OR(Tabulations!F26=3,Tabulations!E26=2),0,IF(Tabulations!W26=MAX(Tabulations!$W26:$AA26),Tabulations!W26,0))</f>
        <v>0</v>
      </c>
      <c r="J29" s="207">
        <f>IF(OR(Tabulations!F26=3,Tabulations!E26=2),0,IF(Tabulations!X26=MAX(Tabulations!$W26:$AA26),Tabulations!X26,0))</f>
        <v>0</v>
      </c>
      <c r="K29" s="207">
        <f>IF(OR(Tabulations!F26=3,Tabulations!E26=2),0,IF(Tabulations!Y26=MAX(Tabulations!$W26:$AA26),Tabulations!Y26,0))</f>
        <v>0</v>
      </c>
      <c r="L29" s="207">
        <f>IF(OR(Tabulations!F26=3,Tabulations!E26=2),0,IF(Tabulations!Z26=MAX(Tabulations!$W26:$AA26),Tabulations!Z26,0))</f>
        <v>0</v>
      </c>
      <c r="M29" s="207" t="s">
        <v>18</v>
      </c>
      <c r="N29" s="28">
        <f t="shared" si="1"/>
        <v>0</v>
      </c>
      <c r="O29" s="25">
        <f>Tabulations!S26</f>
        <v>14</v>
      </c>
      <c r="P29" s="25">
        <f>Points!H22</f>
        <v>14</v>
      </c>
    </row>
    <row r="30" spans="1:16">
      <c r="A30" s="22"/>
      <c r="B30" s="22"/>
      <c r="C30" s="34"/>
      <c r="D30" s="229" t="s">
        <v>43</v>
      </c>
      <c r="E30" s="26" t="s">
        <v>44</v>
      </c>
      <c r="F30" s="27" t="str">
        <f>Tabulations!Q27</f>
        <v>Not Assessed</v>
      </c>
      <c r="G30" s="27">
        <f>Tabulations!N27</f>
        <v>0</v>
      </c>
      <c r="H30" s="27">
        <f>Tabulations!O27</f>
        <v>0</v>
      </c>
      <c r="I30" s="207">
        <f>IF(OR(Tabulations!F27=3,Tabulations!E27=2),0,IF(Tabulations!W27=MAX(Tabulations!$W27:$AA27),Tabulations!W27,0))</f>
        <v>0</v>
      </c>
      <c r="J30" s="207">
        <f>IF(OR(Tabulations!F27=3,Tabulations!E27=2),0,IF(Tabulations!X27=MAX(Tabulations!$W27:$AA27),Tabulations!X27,0))</f>
        <v>0</v>
      </c>
      <c r="K30" s="207">
        <f>IF(OR(Tabulations!F27=3,Tabulations!E27=2),0,IF(Tabulations!Y27=MAX(Tabulations!$W27:$AA27),Tabulations!Y27,0))</f>
        <v>0</v>
      </c>
      <c r="L30" s="207">
        <f>IF(OR(Tabulations!F27=3,Tabulations!E27=2),0,IF(Tabulations!Z27=MAX(Tabulations!$W27:$AA27),Tabulations!Z27,0))</f>
        <v>0</v>
      </c>
      <c r="M30" s="207" t="s">
        <v>18</v>
      </c>
      <c r="N30" s="28">
        <f t="shared" si="1"/>
        <v>0</v>
      </c>
      <c r="O30" s="25">
        <f>Tabulations!S27</f>
        <v>20</v>
      </c>
      <c r="P30" s="25">
        <f>Points!H23</f>
        <v>20</v>
      </c>
    </row>
    <row r="31" spans="1:16">
      <c r="A31" s="22"/>
      <c r="B31" s="22"/>
      <c r="C31" s="34"/>
      <c r="D31" s="230"/>
      <c r="E31" s="26" t="s">
        <v>45</v>
      </c>
      <c r="F31" s="27" t="str">
        <f>Tabulations!Q28</f>
        <v>Not Assessed</v>
      </c>
      <c r="G31" s="27">
        <f>Tabulations!N28</f>
        <v>0</v>
      </c>
      <c r="H31" s="27">
        <f>Tabulations!O28</f>
        <v>0</v>
      </c>
      <c r="I31" s="207">
        <f>IF(OR(Tabulations!F28=3,Tabulations!E28=2),0,IF(Tabulations!W28=MAX(Tabulations!$W28:$AA28),Tabulations!W28,0))</f>
        <v>0</v>
      </c>
      <c r="J31" s="207">
        <f>IF(OR(Tabulations!F28=3,Tabulations!E28=2),0,IF(Tabulations!X28=MAX(Tabulations!$W28:$AA28),Tabulations!X28,0))</f>
        <v>0</v>
      </c>
      <c r="K31" s="207">
        <f>IF(OR(Tabulations!F28=3,Tabulations!E28=2),0,IF(Tabulations!Y28=MAX(Tabulations!$W28:$AA28),Tabulations!Y28,0))</f>
        <v>0</v>
      </c>
      <c r="L31" s="207">
        <f>IF(OR(Tabulations!F28=3,Tabulations!E28=2),0,IF(Tabulations!Z28=MAX(Tabulations!$W28:$AA28),Tabulations!Z28,0))</f>
        <v>0</v>
      </c>
      <c r="M31" s="207">
        <f>IF(OR(Tabulations!$F28=3,Tabulations!$E28=2),0,IF(Tabulations!AA28=MAX(Tabulations!$W28:$AA28),Tabulations!AA28,0))</f>
        <v>0</v>
      </c>
      <c r="N31" s="28">
        <f t="shared" si="1"/>
        <v>0</v>
      </c>
      <c r="O31" s="25">
        <f>Tabulations!S28</f>
        <v>16</v>
      </c>
      <c r="P31" s="25">
        <f>Points!H24</f>
        <v>16</v>
      </c>
    </row>
    <row r="32" spans="1:16">
      <c r="A32" s="22"/>
      <c r="B32" s="22"/>
      <c r="C32" s="35"/>
      <c r="D32" s="231"/>
      <c r="E32" s="26" t="s">
        <v>46</v>
      </c>
      <c r="F32" s="27" t="str">
        <f>Tabulations!Q29</f>
        <v>Not Assessed</v>
      </c>
      <c r="G32" s="27">
        <f>Tabulations!N29</f>
        <v>0</v>
      </c>
      <c r="H32" s="27">
        <f>Tabulations!O29</f>
        <v>0</v>
      </c>
      <c r="I32" s="207">
        <f>IF(OR(Tabulations!F29=3,Tabulations!E29=2),0,IF(Tabulations!W29=MAX(Tabulations!$W29:$AA29),Tabulations!W29,0))</f>
        <v>0</v>
      </c>
      <c r="J32" s="207">
        <f>IF(OR(Tabulations!F29=3,Tabulations!E29=2),0,IF(Tabulations!X29=MAX(Tabulations!$W29:$AA29),Tabulations!X29,0))</f>
        <v>0</v>
      </c>
      <c r="K32" s="207">
        <f>IF(OR(Tabulations!F29=3,Tabulations!E29=2),0,IF(Tabulations!Y29=MAX(Tabulations!$W29:$AA29),Tabulations!Y29,0))</f>
        <v>0</v>
      </c>
      <c r="L32" s="207">
        <f>IF(OR(Tabulations!F29=3,Tabulations!E29=2),0,IF(Tabulations!Z29=MAX(Tabulations!$W29:$AA29),Tabulations!Z29,0))</f>
        <v>0</v>
      </c>
      <c r="M32" s="207">
        <f>IF(OR(Tabulations!$F29=3,Tabulations!$E29=2),0,IF(Tabulations!AA29=MAX(Tabulations!$W29:$AA29),Tabulations!AA29,0))</f>
        <v>0</v>
      </c>
      <c r="N32" s="28">
        <f t="shared" si="1"/>
        <v>0</v>
      </c>
      <c r="O32" s="25">
        <f>Tabulations!S29</f>
        <v>14</v>
      </c>
      <c r="P32" s="25">
        <f>Points!H25</f>
        <v>14</v>
      </c>
    </row>
    <row r="33" spans="1:16">
      <c r="A33" s="22"/>
      <c r="B33" s="22"/>
      <c r="C33" s="22"/>
      <c r="D33" s="22"/>
      <c r="E33" s="22"/>
      <c r="F33" s="22"/>
      <c r="G33" s="22"/>
      <c r="H33" s="22"/>
      <c r="I33" s="22"/>
      <c r="J33" s="22"/>
      <c r="K33" s="22"/>
      <c r="L33" s="22"/>
      <c r="M33" s="22"/>
      <c r="N33" s="22"/>
      <c r="O33" s="22"/>
      <c r="P33" s="22"/>
    </row>
    <row r="34" spans="1:16" ht="23.85" customHeight="1">
      <c r="A34" s="22"/>
      <c r="B34" s="22"/>
      <c r="C34" s="22"/>
      <c r="D34" s="22"/>
      <c r="E34" s="22"/>
      <c r="F34" s="221" t="s">
        <v>1</v>
      </c>
      <c r="G34" s="223" t="s">
        <v>2</v>
      </c>
      <c r="H34" s="224"/>
      <c r="I34" s="225" t="s">
        <v>3</v>
      </c>
      <c r="J34" s="226"/>
      <c r="K34" s="226"/>
      <c r="L34" s="226"/>
      <c r="M34" s="226"/>
      <c r="N34" s="227"/>
      <c r="O34" s="228" t="s">
        <v>4</v>
      </c>
      <c r="P34" s="228" t="s">
        <v>5</v>
      </c>
    </row>
    <row r="35" spans="1:16">
      <c r="A35" s="22"/>
      <c r="B35" s="22"/>
      <c r="C35" s="22"/>
      <c r="D35" s="23"/>
      <c r="E35" s="29"/>
      <c r="F35" s="222"/>
      <c r="G35" s="32" t="s">
        <v>6</v>
      </c>
      <c r="H35" s="32" t="s">
        <v>7</v>
      </c>
      <c r="I35" s="32" t="s">
        <v>8</v>
      </c>
      <c r="J35" s="32" t="s">
        <v>9</v>
      </c>
      <c r="K35" s="32" t="s">
        <v>10</v>
      </c>
      <c r="L35" s="32" t="s">
        <v>11</v>
      </c>
      <c r="M35" s="32" t="s">
        <v>12</v>
      </c>
      <c r="N35" s="32" t="s">
        <v>13</v>
      </c>
      <c r="O35" s="228"/>
      <c r="P35" s="228"/>
    </row>
    <row r="36" spans="1:16">
      <c r="A36" s="22"/>
      <c r="B36" s="22"/>
      <c r="C36" s="33"/>
      <c r="D36" s="215" t="s">
        <v>47</v>
      </c>
      <c r="E36" s="26" t="s">
        <v>48</v>
      </c>
      <c r="F36" s="27" t="str">
        <f>Tabulations!Q32</f>
        <v>Not Assessed</v>
      </c>
      <c r="G36" s="27">
        <f>Tabulations!N32</f>
        <v>0</v>
      </c>
      <c r="H36" s="27">
        <f>Tabulations!O32</f>
        <v>0</v>
      </c>
      <c r="I36" s="207">
        <f>IF(OR(Tabulations!$F32=3,Tabulations!$E32=2),0,IF(Tabulations!W32=MAX(Tabulations!$W32:$AA32),Tabulations!W32,0))</f>
        <v>0</v>
      </c>
      <c r="J36" s="207">
        <f>IF(OR(Tabulations!$F32=3,Tabulations!$E32=2),0,IF(Tabulations!X32=MAX(Tabulations!$W32:$AA32),Tabulations!X32,0))</f>
        <v>0</v>
      </c>
      <c r="K36" s="207">
        <f>IF(OR(Tabulations!$F32=3,Tabulations!$E32=2),0,IF(Tabulations!Y32=MAX(Tabulations!$W32:$AA32),Tabulations!Y32,0))</f>
        <v>0</v>
      </c>
      <c r="L36" s="207">
        <f>IF(OR(Tabulations!$F32=3,Tabulations!$E32=2),0,IF(Tabulations!Z32=MAX(Tabulations!$W32:$AA32),Tabulations!Z32,0))</f>
        <v>0</v>
      </c>
      <c r="M36" s="207" t="s">
        <v>18</v>
      </c>
      <c r="N36" s="28">
        <f t="shared" si="1"/>
        <v>0</v>
      </c>
      <c r="O36" s="25">
        <f>Tabulations!S32</f>
        <v>12</v>
      </c>
      <c r="P36" s="25">
        <f>Points!H26</f>
        <v>12</v>
      </c>
    </row>
    <row r="37" spans="1:16">
      <c r="A37" s="22"/>
      <c r="B37" s="22"/>
      <c r="C37" s="34"/>
      <c r="D37" s="216"/>
      <c r="E37" s="26" t="s">
        <v>49</v>
      </c>
      <c r="F37" s="27" t="str">
        <f>Tabulations!Q33</f>
        <v>Not Assessed</v>
      </c>
      <c r="G37" s="27">
        <f>Tabulations!N33</f>
        <v>0</v>
      </c>
      <c r="H37" s="27">
        <f>Tabulations!O33</f>
        <v>0</v>
      </c>
      <c r="I37" s="207">
        <f>IF(OR(Tabulations!$F33=3,Tabulations!$E33=2),0,IF(Tabulations!W33=MAX(Tabulations!$W33:$AA33),Tabulations!W33,0))</f>
        <v>0</v>
      </c>
      <c r="J37" s="207">
        <f>IF(OR(Tabulations!$F33=3,Tabulations!$E33=2),0,IF(Tabulations!X33=MAX(Tabulations!$W33:$AA33),Tabulations!X33,0))</f>
        <v>0</v>
      </c>
      <c r="K37" s="207">
        <f>IF(OR(Tabulations!$F33=3,Tabulations!$E33=2),0,IF(Tabulations!Y33=MAX(Tabulations!$W33:$AA33),Tabulations!Y33,0))</f>
        <v>0</v>
      </c>
      <c r="L37" s="207">
        <f>IF(OR(Tabulations!$F33=3,Tabulations!$E33=2),0,IF(Tabulations!Z33=MAX(Tabulations!$W33:$AA33),Tabulations!Z33,0))</f>
        <v>0</v>
      </c>
      <c r="M37" s="207" t="s">
        <v>18</v>
      </c>
      <c r="N37" s="28">
        <f t="shared" ref="N37:N52" si="2">SUM(I37:M37)</f>
        <v>0</v>
      </c>
      <c r="O37" s="25">
        <f>Tabulations!S33</f>
        <v>16</v>
      </c>
      <c r="P37" s="25">
        <f>Points!H27</f>
        <v>16</v>
      </c>
    </row>
    <row r="38" spans="1:16">
      <c r="A38" s="22"/>
      <c r="B38" s="22"/>
      <c r="C38" s="34"/>
      <c r="D38" s="216"/>
      <c r="E38" s="26" t="s">
        <v>50</v>
      </c>
      <c r="F38" s="27" t="str">
        <f>Tabulations!Q34</f>
        <v>Not Assessed</v>
      </c>
      <c r="G38" s="27">
        <f>Tabulations!N34</f>
        <v>0</v>
      </c>
      <c r="H38" s="27">
        <f>Tabulations!O34</f>
        <v>0</v>
      </c>
      <c r="I38" s="207">
        <f>IF(OR(Tabulations!$F34=3,Tabulations!$E34=2),0,IF(Tabulations!W34=MAX(Tabulations!$W34:$AA34),Tabulations!W34,0))</f>
        <v>0</v>
      </c>
      <c r="J38" s="207">
        <f>IF(OR(Tabulations!$F34=3,Tabulations!$E34=2),0,IF(Tabulations!X34=MAX(Tabulations!$W34:$AA34),Tabulations!X34,0))</f>
        <v>0</v>
      </c>
      <c r="K38" s="207">
        <f>IF(OR(Tabulations!$F34=3,Tabulations!$E34=2),0,IF(Tabulations!Y34=MAX(Tabulations!$W34:$AA34),Tabulations!Y34,0))</f>
        <v>0</v>
      </c>
      <c r="L38" s="207">
        <f>IF(OR(Tabulations!$F34=3,Tabulations!$E34=2),0,IF(Tabulations!Z34=MAX(Tabulations!$W34:$AA34),Tabulations!Z34,0))</f>
        <v>0</v>
      </c>
      <c r="M38" s="207" t="s">
        <v>18</v>
      </c>
      <c r="N38" s="28">
        <f t="shared" si="2"/>
        <v>0</v>
      </c>
      <c r="O38" s="25">
        <f>Tabulations!S34</f>
        <v>14</v>
      </c>
      <c r="P38" s="25">
        <f>Points!H28</f>
        <v>14</v>
      </c>
    </row>
    <row r="39" spans="1:16">
      <c r="A39" s="22"/>
      <c r="B39" s="22"/>
      <c r="C39" s="34"/>
      <c r="D39" s="216"/>
      <c r="E39" s="26" t="s">
        <v>51</v>
      </c>
      <c r="F39" s="27" t="str">
        <f>Tabulations!Q35</f>
        <v>Not Assessed</v>
      </c>
      <c r="G39" s="27">
        <f>Tabulations!N35</f>
        <v>0</v>
      </c>
      <c r="H39" s="27">
        <f>Tabulations!O35</f>
        <v>0</v>
      </c>
      <c r="I39" s="207">
        <f>IF(OR(Tabulations!$F35=3,Tabulations!$E35=2),0,IF(Tabulations!W35=MAX(Tabulations!$W35:$AA35),Tabulations!W35,0))</f>
        <v>0</v>
      </c>
      <c r="J39" s="207">
        <f>IF(OR(Tabulations!$F35=3,Tabulations!$E35=2),0,IF(Tabulations!X35=MAX(Tabulations!$W35:$AA35),Tabulations!X35,0))</f>
        <v>0</v>
      </c>
      <c r="K39" s="207">
        <f>IF(OR(Tabulations!$F35=3,Tabulations!$E35=2),0,IF(Tabulations!Y35=MAX(Tabulations!$W35:$AA35),Tabulations!Y35,0))</f>
        <v>0</v>
      </c>
      <c r="L39" s="207">
        <f>IF(OR(Tabulations!$F35=3,Tabulations!$E35=2),0,IF(Tabulations!Z35=MAX(Tabulations!$W35:$AA35),Tabulations!Z35,0))</f>
        <v>0</v>
      </c>
      <c r="M39" s="207" t="s">
        <v>18</v>
      </c>
      <c r="N39" s="28">
        <f t="shared" si="2"/>
        <v>0</v>
      </c>
      <c r="O39" s="25">
        <f>Tabulations!S35</f>
        <v>16</v>
      </c>
      <c r="P39" s="25">
        <f>Points!H29</f>
        <v>16</v>
      </c>
    </row>
    <row r="40" spans="1:16">
      <c r="A40" s="22"/>
      <c r="B40" s="22"/>
      <c r="C40" s="34"/>
      <c r="D40" s="217"/>
      <c r="E40" s="26" t="s">
        <v>52</v>
      </c>
      <c r="F40" s="27" t="str">
        <f>Tabulations!Q36</f>
        <v>Not Assessed</v>
      </c>
      <c r="G40" s="27">
        <f>Tabulations!N36</f>
        <v>0</v>
      </c>
      <c r="H40" s="27">
        <f>Tabulations!O36</f>
        <v>0</v>
      </c>
      <c r="I40" s="207">
        <f>IF(OR(Tabulations!$F36=3,Tabulations!$E36=2),0,IF(Tabulations!W36=MAX(Tabulations!$W36:$AA36),Tabulations!W36,0))</f>
        <v>0</v>
      </c>
      <c r="J40" s="207">
        <f>IF(OR(Tabulations!$F36=3,Tabulations!$E36=2),0,IF(Tabulations!X36=MAX(Tabulations!$W36:$AA36),Tabulations!X36,0))</f>
        <v>0</v>
      </c>
      <c r="K40" s="207">
        <f>IF(OR(Tabulations!$F36=3,Tabulations!$E36=2),0,IF(Tabulations!Y36=MAX(Tabulations!$W36:$AA36),Tabulations!Y36,0))</f>
        <v>0</v>
      </c>
      <c r="L40" s="207">
        <f>IF(OR(Tabulations!$F36=3,Tabulations!$E36=2),0,IF(Tabulations!Z36=MAX(Tabulations!$W36:$AA36),Tabulations!Z36,0))</f>
        <v>0</v>
      </c>
      <c r="M40" s="207" t="s">
        <v>18</v>
      </c>
      <c r="N40" s="28">
        <f t="shared" si="2"/>
        <v>0</v>
      </c>
      <c r="O40" s="25">
        <f>Tabulations!S36</f>
        <v>8</v>
      </c>
      <c r="P40" s="25">
        <f>Points!H30</f>
        <v>8</v>
      </c>
    </row>
    <row r="41" spans="1:16">
      <c r="A41" s="22"/>
      <c r="B41" s="22"/>
      <c r="C41" s="34"/>
      <c r="D41" s="215" t="s">
        <v>53</v>
      </c>
      <c r="E41" s="26" t="s">
        <v>54</v>
      </c>
      <c r="F41" s="27" t="str">
        <f>Tabulations!Q37</f>
        <v>Not Assessed</v>
      </c>
      <c r="G41" s="27">
        <f>Tabulations!N37</f>
        <v>0</v>
      </c>
      <c r="H41" s="27">
        <f>Tabulations!O37</f>
        <v>0</v>
      </c>
      <c r="I41" s="207">
        <f>IF(OR(Tabulations!$F37=3,Tabulations!$E37=2),0,IF(Tabulations!W37=MAX(Tabulations!$W37:$AA37),Tabulations!W37,0))</f>
        <v>0</v>
      </c>
      <c r="J41" s="207">
        <f>IF(OR(Tabulations!$F37=3,Tabulations!$E37=2),0,IF(Tabulations!X37=MAX(Tabulations!$W37:$AA37),Tabulations!X37,0))</f>
        <v>0</v>
      </c>
      <c r="K41" s="207">
        <f>IF(OR(Tabulations!$F37=3,Tabulations!$E37=2),0,IF(Tabulations!Y37=MAX(Tabulations!$W37:$AA37),Tabulations!Y37,0))</f>
        <v>0</v>
      </c>
      <c r="L41" s="207">
        <f>IF(OR(Tabulations!$F37=3,Tabulations!$E37=2),0,IF(Tabulations!Z37=MAX(Tabulations!$W37:$AA37),Tabulations!Z37,0))</f>
        <v>0</v>
      </c>
      <c r="M41" s="207" t="s">
        <v>18</v>
      </c>
      <c r="N41" s="28">
        <f t="shared" si="2"/>
        <v>0</v>
      </c>
      <c r="O41" s="25">
        <f>Tabulations!S37</f>
        <v>26</v>
      </c>
      <c r="P41" s="25">
        <f>Points!H31</f>
        <v>26</v>
      </c>
    </row>
    <row r="42" spans="1:16">
      <c r="A42" s="22"/>
      <c r="B42" s="22"/>
      <c r="C42" s="34"/>
      <c r="D42" s="216"/>
      <c r="E42" s="26" t="s">
        <v>55</v>
      </c>
      <c r="F42" s="27" t="str">
        <f>Tabulations!Q38</f>
        <v>Not Assessed</v>
      </c>
      <c r="G42" s="27">
        <f>Tabulations!N38</f>
        <v>0</v>
      </c>
      <c r="H42" s="27">
        <f>Tabulations!O38</f>
        <v>0</v>
      </c>
      <c r="I42" s="207">
        <f>IF(OR(Tabulations!$F38=3,Tabulations!$E38=2),0,IF(Tabulations!W38=MAX(Tabulations!$W38:$AA38),Tabulations!W38,0))</f>
        <v>0</v>
      </c>
      <c r="J42" s="207">
        <f>IF(OR(Tabulations!$F38=3,Tabulations!$E38=2),0,IF(Tabulations!X38=MAX(Tabulations!$W38:$AA38),Tabulations!X38,0))</f>
        <v>0</v>
      </c>
      <c r="K42" s="207">
        <f>IF(OR(Tabulations!$F38=3,Tabulations!$E38=2),0,IF(Tabulations!Y38=MAX(Tabulations!$W38:$AA38),Tabulations!Y38,0))</f>
        <v>0</v>
      </c>
      <c r="L42" s="207">
        <f>IF(OR(Tabulations!$F38=3,Tabulations!$E38=2),0,IF(Tabulations!Z38=MAX(Tabulations!$W38:$AA38),Tabulations!Z38,0))</f>
        <v>0</v>
      </c>
      <c r="M42" s="207" t="s">
        <v>18</v>
      </c>
      <c r="N42" s="28">
        <f t="shared" si="2"/>
        <v>0</v>
      </c>
      <c r="O42" s="25">
        <f>Tabulations!S38</f>
        <v>12</v>
      </c>
      <c r="P42" s="25">
        <f>Points!H32</f>
        <v>12</v>
      </c>
    </row>
    <row r="43" spans="1:16">
      <c r="A43" s="22"/>
      <c r="B43" s="22"/>
      <c r="C43" s="38" t="s">
        <v>56</v>
      </c>
      <c r="D43" s="216"/>
      <c r="E43" s="26" t="s">
        <v>57</v>
      </c>
      <c r="F43" s="27" t="str">
        <f>Tabulations!Q39</f>
        <v>Not Assessed</v>
      </c>
      <c r="G43" s="27">
        <f>Tabulations!N39</f>
        <v>0</v>
      </c>
      <c r="H43" s="27">
        <f>Tabulations!O39</f>
        <v>0</v>
      </c>
      <c r="I43" s="207">
        <f>IF(OR(Tabulations!$F39=3,Tabulations!$E39=2),0,IF(Tabulations!W39=MAX(Tabulations!$W39:$AA39),Tabulations!W39,0))</f>
        <v>0</v>
      </c>
      <c r="J43" s="207">
        <f>IF(OR(Tabulations!$F39=3,Tabulations!$E39=2),0,IF(Tabulations!X39=MAX(Tabulations!$W39:$AA39),Tabulations!X39,0))</f>
        <v>0</v>
      </c>
      <c r="K43" s="207">
        <f>IF(OR(Tabulations!$F39=3,Tabulations!$E39=2),0,IF(Tabulations!Y39=MAX(Tabulations!$W39:$AA39),Tabulations!Y39,0))</f>
        <v>0</v>
      </c>
      <c r="L43" s="207">
        <f>IF(OR(Tabulations!$F39=3,Tabulations!$E39=2),0,IF(Tabulations!Z39=MAX(Tabulations!$W39:$AA39),Tabulations!Z39,0))</f>
        <v>0</v>
      </c>
      <c r="M43" s="207">
        <f>IF(OR(Tabulations!$F39=3,Tabulations!$E39=2),0,IF(Tabulations!AA39=MAX(Tabulations!$W39:$AA39),Tabulations!AA39,0))</f>
        <v>0</v>
      </c>
      <c r="N43" s="28">
        <f t="shared" si="2"/>
        <v>0</v>
      </c>
      <c r="O43" s="25">
        <f>Tabulations!S39</f>
        <v>24</v>
      </c>
      <c r="P43" s="25">
        <f>Points!H33</f>
        <v>24</v>
      </c>
    </row>
    <row r="44" spans="1:16">
      <c r="A44" s="22"/>
      <c r="B44" s="22"/>
      <c r="C44" s="52" t="s">
        <v>58</v>
      </c>
      <c r="D44" s="217"/>
      <c r="E44" s="26" t="s">
        <v>59</v>
      </c>
      <c r="F44" s="27" t="str">
        <f>Tabulations!Q40</f>
        <v>Not Assessed</v>
      </c>
      <c r="G44" s="27">
        <f>Tabulations!N40</f>
        <v>0</v>
      </c>
      <c r="H44" s="27">
        <f>Tabulations!O40</f>
        <v>0</v>
      </c>
      <c r="I44" s="207">
        <f>IF(OR(Tabulations!$F40=3,Tabulations!$E40=2),0,IF(Tabulations!W40=MAX(Tabulations!$W40:$AA40),Tabulations!W40,0))</f>
        <v>0</v>
      </c>
      <c r="J44" s="207">
        <f>IF(OR(Tabulations!$F40=3,Tabulations!$E40=2),0,IF(Tabulations!X40=MAX(Tabulations!$W40:$AA40),Tabulations!X40,0))</f>
        <v>0</v>
      </c>
      <c r="K44" s="207">
        <f>IF(OR(Tabulations!$F40=3,Tabulations!$E40=2),0,IF(Tabulations!Y40=MAX(Tabulations!$W40:$AA40),Tabulations!Y40,0))</f>
        <v>0</v>
      </c>
      <c r="L44" s="207">
        <f>IF(OR(Tabulations!$F40=3,Tabulations!$E40=2),0,IF(Tabulations!Z40=MAX(Tabulations!$W40:$AA40),Tabulations!Z40,0))</f>
        <v>0</v>
      </c>
      <c r="M44" s="207" t="s">
        <v>18</v>
      </c>
      <c r="N44" s="28">
        <f t="shared" si="2"/>
        <v>0</v>
      </c>
      <c r="O44" s="25">
        <f>Tabulations!S40</f>
        <v>14</v>
      </c>
      <c r="P44" s="25">
        <f>Points!H34</f>
        <v>14</v>
      </c>
    </row>
    <row r="45" spans="1:16">
      <c r="A45" s="22"/>
      <c r="B45" s="22"/>
      <c r="C45" s="34"/>
      <c r="D45" s="215" t="s">
        <v>60</v>
      </c>
      <c r="E45" s="26" t="s">
        <v>61</v>
      </c>
      <c r="F45" s="27" t="str">
        <f>Tabulations!Q41</f>
        <v>Not Assessed</v>
      </c>
      <c r="G45" s="27">
        <f>Tabulations!N41</f>
        <v>0</v>
      </c>
      <c r="H45" s="27">
        <f>Tabulations!O41</f>
        <v>0</v>
      </c>
      <c r="I45" s="207">
        <f>IF(OR(Tabulations!$F41=3,Tabulations!$E41=2),0,IF(Tabulations!W41=MAX(Tabulations!$W41:$AA41),Tabulations!W41,0))</f>
        <v>0</v>
      </c>
      <c r="J45" s="207">
        <f>IF(OR(Tabulations!$F41=3,Tabulations!$E41=2),0,IF(Tabulations!X41=MAX(Tabulations!$W41:$AA41),Tabulations!X41,0))</f>
        <v>0</v>
      </c>
      <c r="K45" s="207">
        <f>IF(OR(Tabulations!$F41=3,Tabulations!$E41=2),0,IF(Tabulations!Y41=MAX(Tabulations!$W41:$AA41),Tabulations!Y41,0))</f>
        <v>0</v>
      </c>
      <c r="L45" s="207">
        <f>IF(OR(Tabulations!$F41=3,Tabulations!$E41=2),0,IF(Tabulations!Z41=MAX(Tabulations!$W41:$AA41),Tabulations!Z41,0))</f>
        <v>0</v>
      </c>
      <c r="M45" s="207">
        <f>IF(OR(Tabulations!$F41=3,Tabulations!$E41=2),0,IF(Tabulations!AA41=MAX(Tabulations!$W41:$AA41),Tabulations!AA41,0))</f>
        <v>0</v>
      </c>
      <c r="N45" s="28">
        <f t="shared" si="2"/>
        <v>0</v>
      </c>
      <c r="O45" s="25">
        <f>Tabulations!S41</f>
        <v>12</v>
      </c>
      <c r="P45" s="25">
        <f>Points!H35</f>
        <v>12</v>
      </c>
    </row>
    <row r="46" spans="1:16">
      <c r="A46" s="22"/>
      <c r="B46" s="22"/>
      <c r="C46" s="34"/>
      <c r="D46" s="216"/>
      <c r="E46" s="26" t="s">
        <v>62</v>
      </c>
      <c r="F46" s="27" t="str">
        <f>Tabulations!Q42</f>
        <v>Not Assessed</v>
      </c>
      <c r="G46" s="27">
        <f>Tabulations!N42</f>
        <v>0</v>
      </c>
      <c r="H46" s="27">
        <f>Tabulations!O42</f>
        <v>0</v>
      </c>
      <c r="I46" s="207">
        <f>IF(OR(Tabulations!$F42=3,Tabulations!$E42=2),0,IF(Tabulations!W42=MAX(Tabulations!$W42:$AA42),Tabulations!W42,0))</f>
        <v>0</v>
      </c>
      <c r="J46" s="207">
        <f>IF(OR(Tabulations!$F42=3,Tabulations!$E42=2),0,IF(Tabulations!X42=MAX(Tabulations!$W42:$AA42),Tabulations!X42,0))</f>
        <v>0</v>
      </c>
      <c r="K46" s="207">
        <f>IF(OR(Tabulations!$F42=3,Tabulations!$E42=2),0,IF(Tabulations!Y42=MAX(Tabulations!$W42:$AA42),Tabulations!Y42,0))</f>
        <v>0</v>
      </c>
      <c r="L46" s="207">
        <f>IF(OR(Tabulations!$F42=3,Tabulations!$E42=2),0,IF(Tabulations!Z42=MAX(Tabulations!$W42:$AA42),Tabulations!Z42,0))</f>
        <v>0</v>
      </c>
      <c r="M46" s="207">
        <f>IF(OR(Tabulations!$F42=3,Tabulations!$E42=2),0,IF(Tabulations!AA42=MAX(Tabulations!$W42:$AA42),Tabulations!AA42,0))</f>
        <v>0</v>
      </c>
      <c r="N46" s="28">
        <f t="shared" si="2"/>
        <v>0</v>
      </c>
      <c r="O46" s="25">
        <f>Tabulations!S42</f>
        <v>22</v>
      </c>
      <c r="P46" s="25">
        <f>Points!H36</f>
        <v>22</v>
      </c>
    </row>
    <row r="47" spans="1:16">
      <c r="A47" s="22"/>
      <c r="B47" s="22"/>
      <c r="C47" s="34"/>
      <c r="D47" s="216"/>
      <c r="E47" s="26" t="s">
        <v>63</v>
      </c>
      <c r="F47" s="27" t="str">
        <f>Tabulations!Q43</f>
        <v>Not Assessed</v>
      </c>
      <c r="G47" s="27">
        <f>Tabulations!N43</f>
        <v>0</v>
      </c>
      <c r="H47" s="27">
        <f>Tabulations!O43</f>
        <v>0</v>
      </c>
      <c r="I47" s="207">
        <f>IF(OR(Tabulations!$F43=3,Tabulations!$E43=2),0,IF(Tabulations!W43=MAX(Tabulations!$W43:$AA43),Tabulations!W43,0))</f>
        <v>0</v>
      </c>
      <c r="J47" s="207">
        <f>IF(OR(Tabulations!$F43=3,Tabulations!$E43=2),0,IF(Tabulations!X43=MAX(Tabulations!$W43:$AA43),Tabulations!X43,0))</f>
        <v>0</v>
      </c>
      <c r="K47" s="207">
        <f>IF(OR(Tabulations!$F43=3,Tabulations!$E43=2),0,IF(Tabulations!Y43=MAX(Tabulations!$W43:$AA43),Tabulations!Y43,0))</f>
        <v>0</v>
      </c>
      <c r="L47" s="207">
        <f>IF(OR(Tabulations!$F43=3,Tabulations!$E43=2),0,IF(Tabulations!Z43=MAX(Tabulations!$W43:$AA43),Tabulations!Z43,0))</f>
        <v>0</v>
      </c>
      <c r="M47" s="207" t="s">
        <v>18</v>
      </c>
      <c r="N47" s="28">
        <f t="shared" si="2"/>
        <v>0</v>
      </c>
      <c r="O47" s="25">
        <f>Tabulations!S43</f>
        <v>8</v>
      </c>
      <c r="P47" s="25">
        <f>Points!H37</f>
        <v>8</v>
      </c>
    </row>
    <row r="48" spans="1:16">
      <c r="A48" s="22"/>
      <c r="B48" s="22"/>
      <c r="C48" s="35"/>
      <c r="D48" s="217"/>
      <c r="E48" s="26" t="s">
        <v>64</v>
      </c>
      <c r="F48" s="27" t="str">
        <f>Tabulations!Q44</f>
        <v>Not Assessed</v>
      </c>
      <c r="G48" s="27">
        <f>Tabulations!N44</f>
        <v>0</v>
      </c>
      <c r="H48" s="27">
        <f>Tabulations!O44</f>
        <v>0</v>
      </c>
      <c r="I48" s="207">
        <f>IF(OR(Tabulations!$F44=3,Tabulations!$E44=2),0,IF(Tabulations!W44=MAX(Tabulations!$W44:$AA44),Tabulations!W44,0))</f>
        <v>0</v>
      </c>
      <c r="J48" s="207">
        <f>IF(OR(Tabulations!$F44=3,Tabulations!$E44=2),0,IF(Tabulations!X44=MAX(Tabulations!$W44:$AA44),Tabulations!X44,0))</f>
        <v>0</v>
      </c>
      <c r="K48" s="207">
        <f>IF(OR(Tabulations!$F44=3,Tabulations!$E44=2),0,IF(Tabulations!Y44=MAX(Tabulations!$W44:$AA44),Tabulations!Y44,0))</f>
        <v>0</v>
      </c>
      <c r="L48" s="207">
        <f>IF(OR(Tabulations!$F44=3,Tabulations!$E44=2),0,IF(Tabulations!Z44=MAX(Tabulations!$W44:$AA44),Tabulations!Z44,0))</f>
        <v>0</v>
      </c>
      <c r="M48" s="207" t="s">
        <v>18</v>
      </c>
      <c r="N48" s="28">
        <f t="shared" si="2"/>
        <v>0</v>
      </c>
      <c r="O48" s="25">
        <f>Tabulations!S44</f>
        <v>12</v>
      </c>
      <c r="P48" s="25">
        <f>Points!H38</f>
        <v>12</v>
      </c>
    </row>
    <row r="49" spans="1:16">
      <c r="A49" s="22"/>
      <c r="B49" s="22"/>
      <c r="C49" s="22"/>
      <c r="D49" s="22"/>
      <c r="E49" s="22"/>
      <c r="F49" s="22"/>
      <c r="G49" s="22"/>
      <c r="H49" s="22"/>
      <c r="I49" s="22"/>
      <c r="J49" s="22"/>
      <c r="K49" s="22"/>
      <c r="L49" s="22"/>
      <c r="M49" s="22"/>
      <c r="N49" s="22"/>
      <c r="O49" s="22"/>
      <c r="P49" s="22"/>
    </row>
    <row r="50" spans="1:16" ht="21.6" customHeight="1">
      <c r="A50" s="22"/>
      <c r="B50" s="22"/>
      <c r="C50" s="22"/>
      <c r="D50" s="22"/>
      <c r="E50" s="22"/>
      <c r="F50" s="221" t="s">
        <v>1</v>
      </c>
      <c r="G50" s="223" t="s">
        <v>2</v>
      </c>
      <c r="H50" s="224"/>
      <c r="I50" s="225" t="s">
        <v>3</v>
      </c>
      <c r="J50" s="226"/>
      <c r="K50" s="226"/>
      <c r="L50" s="226"/>
      <c r="M50" s="226"/>
      <c r="N50" s="227"/>
      <c r="O50" s="228" t="s">
        <v>4</v>
      </c>
      <c r="P50" s="228" t="s">
        <v>5</v>
      </c>
    </row>
    <row r="51" spans="1:16">
      <c r="A51" s="22"/>
      <c r="B51" s="22"/>
      <c r="C51" s="22"/>
      <c r="D51" s="23"/>
      <c r="E51" s="29"/>
      <c r="F51" s="222"/>
      <c r="G51" s="32" t="s">
        <v>6</v>
      </c>
      <c r="H51" s="32" t="s">
        <v>7</v>
      </c>
      <c r="I51" s="32" t="s">
        <v>8</v>
      </c>
      <c r="J51" s="32" t="s">
        <v>9</v>
      </c>
      <c r="K51" s="32" t="s">
        <v>10</v>
      </c>
      <c r="L51" s="32" t="s">
        <v>11</v>
      </c>
      <c r="M51" s="32" t="s">
        <v>12</v>
      </c>
      <c r="N51" s="32" t="s">
        <v>13</v>
      </c>
      <c r="O51" s="228"/>
      <c r="P51" s="228"/>
    </row>
    <row r="52" spans="1:16">
      <c r="A52" s="22"/>
      <c r="B52" s="22"/>
      <c r="C52" s="33"/>
      <c r="D52" s="218" t="s">
        <v>65</v>
      </c>
      <c r="E52" s="26" t="s">
        <v>66</v>
      </c>
      <c r="F52" s="27" t="str">
        <f>Tabulations!Q47</f>
        <v>Not Assessed</v>
      </c>
      <c r="G52" s="27">
        <f>Tabulations!N47</f>
        <v>0</v>
      </c>
      <c r="H52" s="27">
        <f>Tabulations!O47</f>
        <v>0</v>
      </c>
      <c r="I52" s="207">
        <f>IF(OR(Tabulations!$F47=3,Tabulations!$E47=2),0,IF(Tabulations!W47=MAX(Tabulations!$W47:$AA47),Tabulations!W47,0))</f>
        <v>0</v>
      </c>
      <c r="J52" s="207">
        <f>IF(OR(Tabulations!$F47=3,Tabulations!$E47=2),0,IF(Tabulations!X47=MAX(Tabulations!$W47:$AA47),Tabulations!X47,0))</f>
        <v>0</v>
      </c>
      <c r="K52" s="207">
        <f>IF(OR(Tabulations!$F47=3,Tabulations!$E47=2),0,IF(Tabulations!Y47=MAX(Tabulations!$W47:$AA47),Tabulations!Y47,0))</f>
        <v>0</v>
      </c>
      <c r="L52" s="207">
        <f>IF(OR(Tabulations!$F47=3,Tabulations!$E47=2),0,IF(Tabulations!Z47=MAX(Tabulations!$W47:$AA47),Tabulations!Z47,0))</f>
        <v>0</v>
      </c>
      <c r="M52" s="207">
        <f>IF(OR(Tabulations!$F47=3,Tabulations!$E47=2),0,IF(Tabulations!AA47=MAX(Tabulations!$W47:$AA47),Tabulations!AA47,0))</f>
        <v>0</v>
      </c>
      <c r="N52" s="28">
        <f t="shared" si="2"/>
        <v>0</v>
      </c>
      <c r="O52" s="25">
        <f>Tabulations!S47</f>
        <v>22</v>
      </c>
      <c r="P52" s="25">
        <f>Points!H39</f>
        <v>22</v>
      </c>
    </row>
    <row r="53" spans="1:16">
      <c r="A53" s="22"/>
      <c r="B53" s="22"/>
      <c r="C53" s="34"/>
      <c r="D53" s="219"/>
      <c r="E53" s="26" t="s">
        <v>67</v>
      </c>
      <c r="F53" s="27" t="str">
        <f>Tabulations!Q48</f>
        <v>Not Assessed</v>
      </c>
      <c r="G53" s="27">
        <f>Tabulations!N48</f>
        <v>0</v>
      </c>
      <c r="H53" s="27">
        <f>Tabulations!O48</f>
        <v>0</v>
      </c>
      <c r="I53" s="207">
        <f>IF(OR(Tabulations!$F48=3,Tabulations!$E48=2),0,IF(Tabulations!W48=MAX(Tabulations!$W48:$AA48),Tabulations!W48,0))</f>
        <v>0</v>
      </c>
      <c r="J53" s="207">
        <f>IF(OR(Tabulations!$F48=3,Tabulations!$E48=2),0,IF(Tabulations!X48=MAX(Tabulations!$W48:$AA48),Tabulations!X48,0))</f>
        <v>0</v>
      </c>
      <c r="K53" s="207">
        <f>IF(OR(Tabulations!$F48=3,Tabulations!$E48=2),0,IF(Tabulations!Y48=MAX(Tabulations!$W48:$AA48),Tabulations!Y48,0))</f>
        <v>0</v>
      </c>
      <c r="L53" s="207">
        <f>IF(OR(Tabulations!$F48=3,Tabulations!$E48=2),0,IF(Tabulations!Z48=MAX(Tabulations!$W48:$AA48),Tabulations!Z48,0))</f>
        <v>0</v>
      </c>
      <c r="M53" s="207">
        <f>IF(OR(Tabulations!$F48=3,Tabulations!$E48=2),0,IF(Tabulations!AA48=MAX(Tabulations!$W48:$AA48),Tabulations!AA48,0))</f>
        <v>0</v>
      </c>
      <c r="N53" s="28">
        <f t="shared" ref="N53:N68" si="3">SUM(I53:M53)</f>
        <v>0</v>
      </c>
      <c r="O53" s="25">
        <f>Tabulations!S48</f>
        <v>20</v>
      </c>
      <c r="P53" s="25">
        <f>Points!H40</f>
        <v>20</v>
      </c>
    </row>
    <row r="54" spans="1:16">
      <c r="A54" s="22"/>
      <c r="B54" s="22"/>
      <c r="C54" s="34"/>
      <c r="D54" s="219"/>
      <c r="E54" s="26" t="s">
        <v>68</v>
      </c>
      <c r="F54" s="27" t="str">
        <f>Tabulations!Q49</f>
        <v>Not Assessed</v>
      </c>
      <c r="G54" s="27">
        <f>Tabulations!N49</f>
        <v>0</v>
      </c>
      <c r="H54" s="27">
        <f>Tabulations!O49</f>
        <v>0</v>
      </c>
      <c r="I54" s="207" t="s">
        <v>18</v>
      </c>
      <c r="J54" s="207">
        <f>IF(OR(Tabulations!$F49=3,Tabulations!$E49=2),0,IF(Tabulations!X49=MAX(Tabulations!$W49:$AA49),Tabulations!X49,0))</f>
        <v>0</v>
      </c>
      <c r="K54" s="207">
        <f>IF(OR(Tabulations!$F49=3,Tabulations!$E49=2),0,IF(Tabulations!Y49=MAX(Tabulations!$W49:$AA49),Tabulations!Y49,0))</f>
        <v>0</v>
      </c>
      <c r="L54" s="207">
        <f>IF(OR(Tabulations!$F49=3,Tabulations!$E49=2),0,IF(Tabulations!Z49=MAX(Tabulations!$W49:$AA49),Tabulations!Z49,0))</f>
        <v>0</v>
      </c>
      <c r="M54" s="207">
        <f>IF(OR(Tabulations!$F49=3,Tabulations!$E49=2),0,IF(Tabulations!AA49=MAX(Tabulations!$W49:$AA49),Tabulations!AA49,0))</f>
        <v>0</v>
      </c>
      <c r="N54" s="28">
        <f t="shared" si="3"/>
        <v>0</v>
      </c>
      <c r="O54" s="25">
        <f>Tabulations!S49</f>
        <v>16</v>
      </c>
      <c r="P54" s="25">
        <f>Points!H41</f>
        <v>16</v>
      </c>
    </row>
    <row r="55" spans="1:16">
      <c r="A55" s="22"/>
      <c r="B55" s="22"/>
      <c r="C55" s="34"/>
      <c r="D55" s="220"/>
      <c r="E55" s="26" t="s">
        <v>69</v>
      </c>
      <c r="F55" s="27" t="str">
        <f>Tabulations!Q50</f>
        <v>Not Assessed</v>
      </c>
      <c r="G55" s="27">
        <f>Tabulations!N50</f>
        <v>0</v>
      </c>
      <c r="H55" s="27">
        <f>Tabulations!O50</f>
        <v>0</v>
      </c>
      <c r="I55" s="207">
        <f>IF(OR(Tabulations!$F50=3,Tabulations!$E50=2),0,IF(Tabulations!W50=MAX(Tabulations!$W50:$AA50),Tabulations!W50,0))</f>
        <v>0</v>
      </c>
      <c r="J55" s="207">
        <f>IF(OR(Tabulations!$F50=3,Tabulations!$E50=2),0,IF(Tabulations!X50=MAX(Tabulations!$W50:$AA50),Tabulations!X50,0))</f>
        <v>0</v>
      </c>
      <c r="K55" s="207">
        <f>IF(OR(Tabulations!$F50=3,Tabulations!$E50=2),0,IF(Tabulations!Y50=MAX(Tabulations!$W50:$AA50),Tabulations!Y50,0))</f>
        <v>0</v>
      </c>
      <c r="L55" s="207">
        <f>IF(OR(Tabulations!$F50=3,Tabulations!$E50=2),0,IF(Tabulations!Z50=MAX(Tabulations!$W50:$AA50),Tabulations!Z50,0))</f>
        <v>0</v>
      </c>
      <c r="M55" s="207">
        <f>IF(OR(Tabulations!$F50=3,Tabulations!$E50=2),0,IF(Tabulations!AA50=MAX(Tabulations!$W50:$AA50),Tabulations!AA50,0))</f>
        <v>0</v>
      </c>
      <c r="N55" s="28">
        <f t="shared" si="3"/>
        <v>0</v>
      </c>
      <c r="O55" s="25">
        <f>Tabulations!S50</f>
        <v>24</v>
      </c>
      <c r="P55" s="25">
        <f>Points!H42</f>
        <v>24</v>
      </c>
    </row>
    <row r="56" spans="1:16">
      <c r="A56" s="22"/>
      <c r="B56" s="22"/>
      <c r="C56" s="34"/>
      <c r="D56" s="218" t="s">
        <v>70</v>
      </c>
      <c r="E56" s="26" t="s">
        <v>71</v>
      </c>
      <c r="F56" s="27" t="str">
        <f>Tabulations!Q51</f>
        <v>Not Assessed</v>
      </c>
      <c r="G56" s="27">
        <f>Tabulations!N51</f>
        <v>0</v>
      </c>
      <c r="H56" s="27">
        <f>Tabulations!O51</f>
        <v>0</v>
      </c>
      <c r="I56" s="207">
        <f>IF(OR(Tabulations!$F51=3,Tabulations!$E51=2),0,IF(Tabulations!W51=MAX(Tabulations!$W51:$AA51),Tabulations!W51,0))</f>
        <v>0</v>
      </c>
      <c r="J56" s="207">
        <f>IF(OR(Tabulations!$F51=3,Tabulations!$E51=2),0,IF(Tabulations!X51=MAX(Tabulations!$W51:$AA51),Tabulations!X51,0))</f>
        <v>0</v>
      </c>
      <c r="K56" s="207">
        <f>IF(OR(Tabulations!$F51=3,Tabulations!$E51=2),0,IF(Tabulations!Y51=MAX(Tabulations!$W51:$AA51),Tabulations!Y51,0))</f>
        <v>0</v>
      </c>
      <c r="L56" s="207">
        <f>IF(OR(Tabulations!$F51=3,Tabulations!$E51=2),0,IF(Tabulations!Z51=MAX(Tabulations!$W51:$AA51),Tabulations!Z51,0))</f>
        <v>0</v>
      </c>
      <c r="M56" s="207">
        <f>IF(OR(Tabulations!$F51=3,Tabulations!$E51=2),0,IF(Tabulations!AA51=MAX(Tabulations!$W51:$AA51),Tabulations!AA51,0))</f>
        <v>0</v>
      </c>
      <c r="N56" s="28">
        <f t="shared" si="3"/>
        <v>0</v>
      </c>
      <c r="O56" s="25">
        <f>Tabulations!S51</f>
        <v>22</v>
      </c>
      <c r="P56" s="25">
        <f>Points!H43</f>
        <v>22</v>
      </c>
    </row>
    <row r="57" spans="1:16">
      <c r="A57" s="22"/>
      <c r="B57" s="22"/>
      <c r="C57" s="34"/>
      <c r="D57" s="219"/>
      <c r="E57" s="26" t="s">
        <v>72</v>
      </c>
      <c r="F57" s="27" t="str">
        <f>Tabulations!Q52</f>
        <v>Not Assessed</v>
      </c>
      <c r="G57" s="27">
        <f>Tabulations!N52</f>
        <v>0</v>
      </c>
      <c r="H57" s="27">
        <f>Tabulations!O52</f>
        <v>0</v>
      </c>
      <c r="I57" s="207">
        <f>IF(OR(Tabulations!$F52=3,Tabulations!$E52=2),0,IF(Tabulations!W52=MAX(Tabulations!$W52:$AA52),Tabulations!W52,0))</f>
        <v>0</v>
      </c>
      <c r="J57" s="207">
        <f>IF(OR(Tabulations!$F52=3,Tabulations!$E52=2),0,IF(Tabulations!X52=MAX(Tabulations!$W52:$AA52),Tabulations!X52,0))</f>
        <v>0</v>
      </c>
      <c r="K57" s="207">
        <f>IF(OR(Tabulations!$F52=3,Tabulations!$E52=2),0,IF(Tabulations!Y52=MAX(Tabulations!$W52:$AA52),Tabulations!Y52,0))</f>
        <v>0</v>
      </c>
      <c r="L57" s="207">
        <f>IF(OR(Tabulations!$F52=3,Tabulations!$E52=2),0,IF(Tabulations!Z52=MAX(Tabulations!$W52:$AA52),Tabulations!Z52,0))</f>
        <v>0</v>
      </c>
      <c r="M57" s="207">
        <f>IF(OR(Tabulations!$F52=3,Tabulations!$E52=2),0,IF(Tabulations!AA52=MAX(Tabulations!$W52:$AA52),Tabulations!AA52,0))</f>
        <v>0</v>
      </c>
      <c r="N57" s="28">
        <f t="shared" si="3"/>
        <v>0</v>
      </c>
      <c r="O57" s="25">
        <f>Tabulations!S52</f>
        <v>24</v>
      </c>
      <c r="P57" s="25">
        <f>Points!H44</f>
        <v>24</v>
      </c>
    </row>
    <row r="58" spans="1:16">
      <c r="A58" s="22"/>
      <c r="B58" s="22"/>
      <c r="C58" s="34"/>
      <c r="D58" s="219"/>
      <c r="E58" s="26" t="s">
        <v>73</v>
      </c>
      <c r="F58" s="27" t="str">
        <f>Tabulations!Q53</f>
        <v>Not Assessed</v>
      </c>
      <c r="G58" s="27">
        <f>Tabulations!N53</f>
        <v>0</v>
      </c>
      <c r="H58" s="27">
        <f>Tabulations!O53</f>
        <v>0</v>
      </c>
      <c r="I58" s="207">
        <f>IF(OR(Tabulations!$F53=3,Tabulations!$E53=2),0,IF(Tabulations!W53=MAX(Tabulations!$W53:$AA53),Tabulations!W53,0))</f>
        <v>0</v>
      </c>
      <c r="J58" s="207">
        <f>IF(OR(Tabulations!$F53=3,Tabulations!$E53=2),0,IF(Tabulations!X53=MAX(Tabulations!$W53:$AA53),Tabulations!X53,0))</f>
        <v>0</v>
      </c>
      <c r="K58" s="207">
        <f>IF(OR(Tabulations!$F53=3,Tabulations!$E53=2),0,IF(Tabulations!Y53=MAX(Tabulations!$W53:$AA53),Tabulations!Y53,0))</f>
        <v>0</v>
      </c>
      <c r="L58" s="207">
        <f>IF(OR(Tabulations!$F53=3,Tabulations!$E53=2),0,IF(Tabulations!Z53=MAX(Tabulations!$W53:$AA53),Tabulations!Z53,0))</f>
        <v>0</v>
      </c>
      <c r="M58" s="207">
        <f>IF(OR(Tabulations!$F53=3,Tabulations!$E53=2),0,IF(Tabulations!AA53=MAX(Tabulations!$W53:$AA53),Tabulations!AA53,0))</f>
        <v>0</v>
      </c>
      <c r="N58" s="28">
        <f t="shared" si="3"/>
        <v>0</v>
      </c>
      <c r="O58" s="25">
        <f>Tabulations!S53</f>
        <v>12</v>
      </c>
      <c r="P58" s="25">
        <f>Points!H45</f>
        <v>12</v>
      </c>
    </row>
    <row r="59" spans="1:16">
      <c r="A59" s="22"/>
      <c r="B59" s="22"/>
      <c r="C59" s="37" t="s">
        <v>74</v>
      </c>
      <c r="D59" s="220"/>
      <c r="E59" s="26" t="s">
        <v>75</v>
      </c>
      <c r="F59" s="27" t="str">
        <f>Tabulations!Q54</f>
        <v>Not Assessed</v>
      </c>
      <c r="G59" s="27">
        <f>Tabulations!N54</f>
        <v>0</v>
      </c>
      <c r="H59" s="27">
        <f>Tabulations!O54</f>
        <v>0</v>
      </c>
      <c r="I59" s="207">
        <f>IF(OR(Tabulations!$F54=3,Tabulations!$E54=2),0,IF(Tabulations!W54=MAX(Tabulations!$W54:$AA54),Tabulations!W54,0))</f>
        <v>0</v>
      </c>
      <c r="J59" s="207">
        <f>IF(OR(Tabulations!$F54=3,Tabulations!$E54=2),0,IF(Tabulations!X54=MAX(Tabulations!$W54:$AA54),Tabulations!X54,0))</f>
        <v>0</v>
      </c>
      <c r="K59" s="207">
        <f>IF(OR(Tabulations!$F54=3,Tabulations!$E54=2),0,IF(Tabulations!Y54=MAX(Tabulations!$W54:$AA54),Tabulations!Y54,0))</f>
        <v>0</v>
      </c>
      <c r="L59" s="207">
        <f>IF(OR(Tabulations!$F54=3,Tabulations!$E54=2),0,IF(Tabulations!Z54=MAX(Tabulations!$W54:$AA54),Tabulations!Z54,0))</f>
        <v>0</v>
      </c>
      <c r="M59" s="207">
        <f>IF(OR(Tabulations!$F54=3,Tabulations!$E54=2),0,IF(Tabulations!AA54=MAX(Tabulations!$W54:$AA54),Tabulations!AA54,0))</f>
        <v>0</v>
      </c>
      <c r="N59" s="28">
        <f t="shared" si="3"/>
        <v>0</v>
      </c>
      <c r="O59" s="25">
        <f>Tabulations!S54</f>
        <v>20</v>
      </c>
      <c r="P59" s="25">
        <f>Points!H46</f>
        <v>20</v>
      </c>
    </row>
    <row r="60" spans="1:16">
      <c r="A60" s="22"/>
      <c r="B60" s="22"/>
      <c r="C60" s="51" t="s">
        <v>76</v>
      </c>
      <c r="D60" s="218" t="s">
        <v>77</v>
      </c>
      <c r="E60" s="26" t="s">
        <v>78</v>
      </c>
      <c r="F60" s="27" t="str">
        <f>Tabulations!Q55</f>
        <v>Not Assessed</v>
      </c>
      <c r="G60" s="27">
        <f>Tabulations!N55</f>
        <v>0</v>
      </c>
      <c r="H60" s="27">
        <f>Tabulations!O55</f>
        <v>0</v>
      </c>
      <c r="I60" s="207">
        <f>IF(OR(Tabulations!$F55=3,Tabulations!$E55=2),0,IF(Tabulations!W55=MAX(Tabulations!$W55:$AA55),Tabulations!W55,0))</f>
        <v>0</v>
      </c>
      <c r="J60" s="207">
        <f>IF(OR(Tabulations!$F55=3,Tabulations!$E55=2),0,IF(Tabulations!X55=MAX(Tabulations!$W55:$AA55),Tabulations!X55,0))</f>
        <v>0</v>
      </c>
      <c r="K60" s="207">
        <f>IF(OR(Tabulations!$F55=3,Tabulations!$E55=2),0,IF(Tabulations!Y55=MAX(Tabulations!$W55:$AA55),Tabulations!Y55,0))</f>
        <v>0</v>
      </c>
      <c r="L60" s="207">
        <f>IF(OR(Tabulations!$F55=3,Tabulations!$E55=2),0,IF(Tabulations!Z55=MAX(Tabulations!$W55:$AA55),Tabulations!Z55,0))</f>
        <v>0</v>
      </c>
      <c r="M60" s="207">
        <f>IF(OR(Tabulations!$F55=3,Tabulations!$E55=2),0,IF(Tabulations!AA55=MAX(Tabulations!$W55:$AA55),Tabulations!AA55,0))</f>
        <v>0</v>
      </c>
      <c r="N60" s="28">
        <f t="shared" si="3"/>
        <v>0</v>
      </c>
      <c r="O60" s="25">
        <f>Tabulations!S55</f>
        <v>18</v>
      </c>
      <c r="P60" s="25">
        <f>Points!H47</f>
        <v>18</v>
      </c>
    </row>
    <row r="61" spans="1:16">
      <c r="A61" s="22"/>
      <c r="B61" s="22"/>
      <c r="C61" s="34"/>
      <c r="D61" s="219"/>
      <c r="E61" s="26" t="s">
        <v>79</v>
      </c>
      <c r="F61" s="27" t="str">
        <f>Tabulations!Q56</f>
        <v>Not Assessed</v>
      </c>
      <c r="G61" s="27">
        <f>Tabulations!N56</f>
        <v>0</v>
      </c>
      <c r="H61" s="27">
        <f>Tabulations!O56</f>
        <v>0</v>
      </c>
      <c r="I61" s="207">
        <f>IF(OR(Tabulations!$F56=3,Tabulations!$E56=2),0,IF(Tabulations!W56=MAX(Tabulations!$W56:$AA56),Tabulations!W56,0))</f>
        <v>0</v>
      </c>
      <c r="J61" s="207">
        <f>IF(OR(Tabulations!$F56=3,Tabulations!$E56=2),0,IF(Tabulations!X56=MAX(Tabulations!$W56:$AA56),Tabulations!X56,0))</f>
        <v>0</v>
      </c>
      <c r="K61" s="207">
        <f>IF(OR(Tabulations!$F56=3,Tabulations!$E56=2),0,IF(Tabulations!Y56=MAX(Tabulations!$W56:$AA56),Tabulations!Y56,0))</f>
        <v>0</v>
      </c>
      <c r="L61" s="207">
        <f>IF(OR(Tabulations!$F56=3,Tabulations!$E56=2),0,IF(Tabulations!Z56=MAX(Tabulations!$W56:$AA56),Tabulations!Z56,0))</f>
        <v>0</v>
      </c>
      <c r="M61" s="207">
        <f>IF(OR(Tabulations!$F56=3,Tabulations!$E56=2),0,IF(Tabulations!AA56=MAX(Tabulations!$W56:$AA56),Tabulations!AA56,0))</f>
        <v>0</v>
      </c>
      <c r="N61" s="28">
        <f t="shared" si="3"/>
        <v>0</v>
      </c>
      <c r="O61" s="25">
        <f>Tabulations!S56</f>
        <v>20</v>
      </c>
      <c r="P61" s="25">
        <f>Points!H48</f>
        <v>20</v>
      </c>
    </row>
    <row r="62" spans="1:16">
      <c r="A62" s="22"/>
      <c r="B62" s="22"/>
      <c r="C62" s="34"/>
      <c r="D62" s="219"/>
      <c r="E62" s="26" t="s">
        <v>80</v>
      </c>
      <c r="F62" s="27" t="str">
        <f>Tabulations!Q57</f>
        <v>Not Assessed</v>
      </c>
      <c r="G62" s="27">
        <f>Tabulations!N57</f>
        <v>0</v>
      </c>
      <c r="H62" s="27">
        <f>Tabulations!O57</f>
        <v>0</v>
      </c>
      <c r="I62" s="207">
        <f>IF(OR(Tabulations!$F57=3,Tabulations!$E57=2),0,IF(Tabulations!W57=MAX(Tabulations!$W57:$AA57),Tabulations!W57,0))</f>
        <v>0</v>
      </c>
      <c r="J62" s="207">
        <f>IF(OR(Tabulations!$F57=3,Tabulations!$E57=2),0,IF(Tabulations!X57=MAX(Tabulations!$W57:$AA57),Tabulations!X57,0))</f>
        <v>0</v>
      </c>
      <c r="K62" s="207">
        <f>IF(OR(Tabulations!$F57=3,Tabulations!$E57=2),0,IF(Tabulations!Y57=MAX(Tabulations!$W57:$AA57),Tabulations!Y57,0))</f>
        <v>0</v>
      </c>
      <c r="L62" s="207">
        <f>IF(OR(Tabulations!$F57=3,Tabulations!$E57=2),0,IF(Tabulations!Z57=MAX(Tabulations!$W57:$AA57),Tabulations!Z57,0))</f>
        <v>0</v>
      </c>
      <c r="M62" s="207">
        <f>IF(OR(Tabulations!$F57=3,Tabulations!$E57=2),0,IF(Tabulations!AA57=MAX(Tabulations!$W57:$AA57),Tabulations!AA57,0))</f>
        <v>0</v>
      </c>
      <c r="N62" s="28">
        <f t="shared" si="3"/>
        <v>0</v>
      </c>
      <c r="O62" s="25">
        <f>Tabulations!S57</f>
        <v>14</v>
      </c>
      <c r="P62" s="25">
        <f>Points!H49</f>
        <v>14</v>
      </c>
    </row>
    <row r="63" spans="1:16">
      <c r="A63" s="22"/>
      <c r="B63" s="22"/>
      <c r="C63" s="34"/>
      <c r="D63" s="219"/>
      <c r="E63" s="26" t="s">
        <v>81</v>
      </c>
      <c r="F63" s="27" t="str">
        <f>Tabulations!Q58</f>
        <v>Not Assessed</v>
      </c>
      <c r="G63" s="27">
        <f>Tabulations!N58</f>
        <v>0</v>
      </c>
      <c r="H63" s="27">
        <f>Tabulations!O58</f>
        <v>0</v>
      </c>
      <c r="I63" s="207">
        <f>IF(OR(Tabulations!$F58=3,Tabulations!$E58=2),0,IF(Tabulations!W58=MAX(Tabulations!$W58:$AA58),Tabulations!W58,0))</f>
        <v>0</v>
      </c>
      <c r="J63" s="207">
        <f>IF(OR(Tabulations!$F58=3,Tabulations!$E58=2),0,IF(Tabulations!X58=MAX(Tabulations!$W58:$AA58),Tabulations!X58,0))</f>
        <v>0</v>
      </c>
      <c r="K63" s="207">
        <f>IF(OR(Tabulations!$F58=3,Tabulations!$E58=2),0,IF(Tabulations!Y58=MAX(Tabulations!$W58:$AA58),Tabulations!Y58,0))</f>
        <v>0</v>
      </c>
      <c r="L63" s="207">
        <f>IF(OR(Tabulations!$F58=3,Tabulations!$E58=2),0,IF(Tabulations!Z58=MAX(Tabulations!$W58:$AA58),Tabulations!Z58,0))</f>
        <v>0</v>
      </c>
      <c r="M63" s="207">
        <f>IF(OR(Tabulations!$F58=3,Tabulations!$E58=2),0,IF(Tabulations!AA58=MAX(Tabulations!$W58:$AA58),Tabulations!AA58,0))</f>
        <v>0</v>
      </c>
      <c r="N63" s="28">
        <f t="shared" si="3"/>
        <v>0</v>
      </c>
      <c r="O63" s="25">
        <f>Tabulations!S58</f>
        <v>12</v>
      </c>
      <c r="P63" s="25">
        <f>Points!H50</f>
        <v>12</v>
      </c>
    </row>
    <row r="64" spans="1:16">
      <c r="A64" s="22"/>
      <c r="B64" s="22"/>
      <c r="C64" s="35"/>
      <c r="D64" s="220"/>
      <c r="E64" s="26" t="s">
        <v>82</v>
      </c>
      <c r="F64" s="27" t="str">
        <f>Tabulations!Q59</f>
        <v>Not Assessed</v>
      </c>
      <c r="G64" s="27">
        <f>Tabulations!N59</f>
        <v>0</v>
      </c>
      <c r="H64" s="27">
        <f>Tabulations!O59</f>
        <v>0</v>
      </c>
      <c r="I64" s="207" t="s">
        <v>18</v>
      </c>
      <c r="J64" s="207">
        <f>IF(OR(Tabulations!$F59=3,Tabulations!$E59=2),0,IF(Tabulations!X59=MAX(Tabulations!$W59:$AA59),Tabulations!X59,0))</f>
        <v>0</v>
      </c>
      <c r="K64" s="207">
        <f>IF(OR(Tabulations!$F59=3,Tabulations!$E59=2),0,IF(Tabulations!Y59=MAX(Tabulations!$W59:$AA59),Tabulations!Y59,0))</f>
        <v>0</v>
      </c>
      <c r="L64" s="207">
        <f>IF(OR(Tabulations!$F59=3,Tabulations!$E59=2),0,IF(Tabulations!Z59=MAX(Tabulations!$W59:$AA59),Tabulations!Z59,0))</f>
        <v>0</v>
      </c>
      <c r="M64" s="207">
        <f>IF(OR(Tabulations!$F59=3,Tabulations!$E59=2),0,IF(Tabulations!AA59=MAX(Tabulations!$W59:$AA59),Tabulations!AA59,0))</f>
        <v>0</v>
      </c>
      <c r="N64" s="28">
        <f t="shared" si="3"/>
        <v>0</v>
      </c>
      <c r="O64" s="25">
        <f>Tabulations!S59</f>
        <v>8</v>
      </c>
      <c r="P64" s="25">
        <f>Points!H51</f>
        <v>8</v>
      </c>
    </row>
    <row r="65" spans="1:17">
      <c r="A65" s="22"/>
      <c r="B65" s="22"/>
      <c r="C65" s="22"/>
      <c r="D65" s="22"/>
      <c r="E65" s="22"/>
      <c r="F65" s="22"/>
      <c r="G65" s="22"/>
      <c r="H65" s="22"/>
      <c r="I65" s="22"/>
      <c r="J65" s="22"/>
      <c r="K65" s="22"/>
      <c r="L65" s="22"/>
      <c r="M65" s="22"/>
      <c r="N65" s="22"/>
      <c r="O65" s="22"/>
      <c r="P65" s="22"/>
    </row>
    <row r="66" spans="1:17" ht="24.6" customHeight="1">
      <c r="A66" s="22"/>
      <c r="B66" s="22"/>
      <c r="C66" s="22"/>
      <c r="D66" s="22"/>
      <c r="E66" s="22"/>
      <c r="F66" s="221" t="s">
        <v>1</v>
      </c>
      <c r="G66" s="223" t="s">
        <v>2</v>
      </c>
      <c r="H66" s="224"/>
      <c r="I66" s="225" t="s">
        <v>3</v>
      </c>
      <c r="J66" s="226"/>
      <c r="K66" s="226"/>
      <c r="L66" s="226"/>
      <c r="M66" s="226"/>
      <c r="N66" s="227"/>
      <c r="O66" s="228" t="s">
        <v>4</v>
      </c>
      <c r="P66" s="228" t="s">
        <v>5</v>
      </c>
    </row>
    <row r="67" spans="1:17">
      <c r="A67" s="22"/>
      <c r="B67" s="22"/>
      <c r="C67" s="22"/>
      <c r="D67" s="23"/>
      <c r="E67" s="29"/>
      <c r="F67" s="222"/>
      <c r="G67" s="32" t="s">
        <v>6</v>
      </c>
      <c r="H67" s="32" t="s">
        <v>7</v>
      </c>
      <c r="I67" s="32" t="s">
        <v>8</v>
      </c>
      <c r="J67" s="32" t="s">
        <v>9</v>
      </c>
      <c r="K67" s="32" t="s">
        <v>10</v>
      </c>
      <c r="L67" s="32" t="s">
        <v>11</v>
      </c>
      <c r="M67" s="32" t="s">
        <v>12</v>
      </c>
      <c r="N67" s="32" t="s">
        <v>13</v>
      </c>
      <c r="O67" s="228"/>
      <c r="P67" s="228"/>
    </row>
    <row r="68" spans="1:17">
      <c r="A68" s="22"/>
      <c r="B68" s="22"/>
      <c r="C68" s="33"/>
      <c r="D68" s="210" t="s">
        <v>83</v>
      </c>
      <c r="E68" s="26" t="s">
        <v>84</v>
      </c>
      <c r="F68" s="27" t="str">
        <f>Tabulations!Q62</f>
        <v>Not Assessed</v>
      </c>
      <c r="G68" s="27">
        <f>Tabulations!N62</f>
        <v>0</v>
      </c>
      <c r="H68" s="27">
        <f>Tabulations!O62</f>
        <v>0</v>
      </c>
      <c r="I68" s="207">
        <f>IF(OR(Tabulations!$F62=3,Tabulations!$E62=2),0,IF(Tabulations!W62=MAX(Tabulations!$W62:$AA62),Tabulations!W62,0))</f>
        <v>0</v>
      </c>
      <c r="J68" s="207">
        <f>IF(OR(Tabulations!$F62=3,Tabulations!$E62=2),0,IF(Tabulations!X62=MAX(Tabulations!$W62:$AA62),Tabulations!X62,0))</f>
        <v>0</v>
      </c>
      <c r="K68" s="207">
        <f>IF(OR(Tabulations!$F62=3,Tabulations!$E62=2),0,IF(Tabulations!Y62=MAX(Tabulations!$W62:$AA62),Tabulations!Y62,0))</f>
        <v>0</v>
      </c>
      <c r="L68" s="207">
        <f>IF(OR(Tabulations!$F62=3,Tabulations!$E62=2),0,IF(Tabulations!Z62=MAX(Tabulations!$W62:$AA62),Tabulations!Z62,0))</f>
        <v>0</v>
      </c>
      <c r="M68" s="207" t="s">
        <v>18</v>
      </c>
      <c r="N68" s="28">
        <f t="shared" si="3"/>
        <v>0</v>
      </c>
      <c r="O68" s="25">
        <f>Tabulations!S62</f>
        <v>20</v>
      </c>
      <c r="P68" s="25">
        <f>Points!H52</f>
        <v>20</v>
      </c>
    </row>
    <row r="69" spans="1:17">
      <c r="A69" s="22"/>
      <c r="B69" s="22"/>
      <c r="C69" s="34"/>
      <c r="D69" s="211"/>
      <c r="E69" s="26" t="s">
        <v>85</v>
      </c>
      <c r="F69" s="27" t="str">
        <f>Tabulations!Q63</f>
        <v>Not Assessed</v>
      </c>
      <c r="G69" s="27">
        <f>Tabulations!N63</f>
        <v>0</v>
      </c>
      <c r="H69" s="27">
        <f>Tabulations!O63</f>
        <v>0</v>
      </c>
      <c r="I69" s="207">
        <f>IF(OR(Tabulations!$F63=3,Tabulations!$E63=2),0,IF(Tabulations!W63=MAX(Tabulations!$W63:$AA63),Tabulations!W63,0))</f>
        <v>0</v>
      </c>
      <c r="J69" s="207">
        <f>IF(OR(Tabulations!$F63=3,Tabulations!$E63=2),0,IF(Tabulations!X63=MAX(Tabulations!$W63:$AA63),Tabulations!X63,0))</f>
        <v>0</v>
      </c>
      <c r="K69" s="207">
        <f>IF(OR(Tabulations!$F63=3,Tabulations!$E63=2),0,IF(Tabulations!Y63=MAX(Tabulations!$W63:$AA63),Tabulations!Y63,0))</f>
        <v>0</v>
      </c>
      <c r="L69" s="207">
        <f>IF(OR(Tabulations!$F63=3,Tabulations!$E63=2),0,IF(Tabulations!Z63=MAX(Tabulations!$W63:$AA63),Tabulations!Z63,0))</f>
        <v>0</v>
      </c>
      <c r="M69" s="207">
        <f>IF(OR(Tabulations!$F63=3,Tabulations!$E63=2),0,IF(Tabulations!AA63=MAX(Tabulations!$W63:$AA63),Tabulations!AA63,0))</f>
        <v>0</v>
      </c>
      <c r="N69" s="28">
        <f t="shared" ref="N69:N76" si="4">SUM(I69:M69)</f>
        <v>0</v>
      </c>
      <c r="O69" s="25">
        <f>Tabulations!S63</f>
        <v>26</v>
      </c>
      <c r="P69" s="25">
        <f>Points!H53</f>
        <v>26</v>
      </c>
    </row>
    <row r="70" spans="1:17">
      <c r="A70" s="22"/>
      <c r="B70" s="22"/>
      <c r="C70" s="34"/>
      <c r="D70" s="212"/>
      <c r="E70" s="26" t="s">
        <v>86</v>
      </c>
      <c r="F70" s="27" t="str">
        <f>Tabulations!Q64</f>
        <v>Not Assessed</v>
      </c>
      <c r="G70" s="27">
        <f>Tabulations!N64</f>
        <v>0</v>
      </c>
      <c r="H70" s="27">
        <f>Tabulations!O64</f>
        <v>0</v>
      </c>
      <c r="I70" s="207">
        <f>IF(OR(Tabulations!$F64=3,Tabulations!$E64=2),0,IF(Tabulations!W64=MAX(Tabulations!$W64:$AA64),Tabulations!W64,0))</f>
        <v>0</v>
      </c>
      <c r="J70" s="207">
        <f>IF(OR(Tabulations!$F64=3,Tabulations!$E64=2),0,IF(Tabulations!X64=MAX(Tabulations!$W64:$AA64),Tabulations!X64,0))</f>
        <v>0</v>
      </c>
      <c r="K70" s="207">
        <f>IF(OR(Tabulations!$F64=3,Tabulations!$E64=2),0,IF(Tabulations!Y64=MAX(Tabulations!$W64:$AA64),Tabulations!Y64,0))</f>
        <v>0</v>
      </c>
      <c r="L70" s="207">
        <f>IF(OR(Tabulations!$F64=3,Tabulations!$E64=2),0,IF(Tabulations!Z64=MAX(Tabulations!$W64:$AA64),Tabulations!Z64,0))</f>
        <v>0</v>
      </c>
      <c r="M70" s="207">
        <f>IF(OR(Tabulations!$F64=3,Tabulations!$E64=2),0,IF(Tabulations!AA64=MAX(Tabulations!$W64:$AA64),Tabulations!AA64,0))</f>
        <v>0</v>
      </c>
      <c r="N70" s="28">
        <f t="shared" si="4"/>
        <v>0</v>
      </c>
      <c r="O70" s="25">
        <f>Tabulations!S64</f>
        <v>18</v>
      </c>
      <c r="P70" s="25">
        <f>Points!H54</f>
        <v>18</v>
      </c>
    </row>
    <row r="71" spans="1:17">
      <c r="A71" s="22"/>
      <c r="B71" s="22"/>
      <c r="C71" s="34"/>
      <c r="D71" s="210" t="s">
        <v>87</v>
      </c>
      <c r="E71" s="26" t="s">
        <v>88</v>
      </c>
      <c r="F71" s="27" t="str">
        <f>Tabulations!Q65</f>
        <v>Not Assessed</v>
      </c>
      <c r="G71" s="27">
        <f>Tabulations!N65</f>
        <v>0</v>
      </c>
      <c r="H71" s="27">
        <f>Tabulations!O65</f>
        <v>0</v>
      </c>
      <c r="I71" s="207">
        <f>IF(OR(Tabulations!$F65=3,Tabulations!$E65=2),0,IF(Tabulations!W65=MAX(Tabulations!$W65:$AA65),Tabulations!W65,0))</f>
        <v>0</v>
      </c>
      <c r="J71" s="207">
        <f>IF(OR(Tabulations!$F65=3,Tabulations!$E65=2),0,IF(Tabulations!X65=MAX(Tabulations!$W65:$AA65),Tabulations!X65,0))</f>
        <v>0</v>
      </c>
      <c r="K71" s="207">
        <f>IF(OR(Tabulations!$F65=3,Tabulations!$E65=2),0,IF(Tabulations!Y65=MAX(Tabulations!$W65:$AA65),Tabulations!Y65,0))</f>
        <v>0</v>
      </c>
      <c r="L71" s="207">
        <f>IF(OR(Tabulations!$F65=3,Tabulations!$E65=2),0,IF(Tabulations!Z65=MAX(Tabulations!$W65:$AA65),Tabulations!Z65,0))</f>
        <v>0</v>
      </c>
      <c r="M71" s="207">
        <f>IF(OR(Tabulations!$F65=3,Tabulations!$E65=2),0,IF(Tabulations!AA65=MAX(Tabulations!$W65:$AA65),Tabulations!AA65,0))</f>
        <v>0</v>
      </c>
      <c r="N71" s="28">
        <f t="shared" si="4"/>
        <v>0</v>
      </c>
      <c r="O71" s="25">
        <f>Tabulations!S65</f>
        <v>16</v>
      </c>
      <c r="P71" s="25">
        <f>Points!H55</f>
        <v>16</v>
      </c>
    </row>
    <row r="72" spans="1:17">
      <c r="A72" s="22"/>
      <c r="B72" s="22"/>
      <c r="C72" s="34"/>
      <c r="D72" s="211"/>
      <c r="E72" s="26" t="s">
        <v>89</v>
      </c>
      <c r="F72" s="27" t="str">
        <f>Tabulations!Q66</f>
        <v>Not Assessed</v>
      </c>
      <c r="G72" s="27">
        <f>Tabulations!N66</f>
        <v>0</v>
      </c>
      <c r="H72" s="27">
        <f>Tabulations!O66</f>
        <v>0</v>
      </c>
      <c r="I72" s="207">
        <f>IF(OR(Tabulations!$F66=3,Tabulations!$E66=2),0,IF(Tabulations!W66=MAX(Tabulations!$W66:$AA66),Tabulations!W66,0))</f>
        <v>0</v>
      </c>
      <c r="J72" s="207">
        <f>IF(OR(Tabulations!$F66=3,Tabulations!$E66=2),0,IF(Tabulations!X66=MAX(Tabulations!$W66:$AA66),Tabulations!X66,0))</f>
        <v>0</v>
      </c>
      <c r="K72" s="207">
        <f>IF(OR(Tabulations!$F66=3,Tabulations!$E66=2),0,IF(Tabulations!Y66=MAX(Tabulations!$W66:$AA66),Tabulations!Y66,0))</f>
        <v>0</v>
      </c>
      <c r="L72" s="207">
        <f>IF(OR(Tabulations!$F66=3,Tabulations!$E66=2),0,IF(Tabulations!Z66=MAX(Tabulations!$W66:$AA66),Tabulations!Z66,0))</f>
        <v>0</v>
      </c>
      <c r="M72" s="207" t="s">
        <v>18</v>
      </c>
      <c r="N72" s="28">
        <f t="shared" si="4"/>
        <v>0</v>
      </c>
      <c r="O72" s="25">
        <f>Tabulations!S66</f>
        <v>20</v>
      </c>
      <c r="P72" s="25">
        <f>Points!H56</f>
        <v>20</v>
      </c>
    </row>
    <row r="73" spans="1:17">
      <c r="A73" s="22"/>
      <c r="B73" s="22"/>
      <c r="C73" s="39" t="s">
        <v>90</v>
      </c>
      <c r="D73" s="211"/>
      <c r="E73" s="26" t="s">
        <v>91</v>
      </c>
      <c r="F73" s="27" t="str">
        <f>Tabulations!Q67</f>
        <v>Not Assessed</v>
      </c>
      <c r="G73" s="27">
        <f>Tabulations!N67</f>
        <v>0</v>
      </c>
      <c r="H73" s="27">
        <f>Tabulations!O67</f>
        <v>0</v>
      </c>
      <c r="I73" s="207">
        <f>IF(OR(Tabulations!$F67=3,Tabulations!$E67=2),0,IF(Tabulations!W67=MAX(Tabulations!$W67:$AA67),Tabulations!W67,0))</f>
        <v>0</v>
      </c>
      <c r="J73" s="207">
        <f>IF(OR(Tabulations!$F67=3,Tabulations!$E67=2),0,IF(Tabulations!X67=MAX(Tabulations!$W67:$AA67),Tabulations!X67,0))</f>
        <v>0</v>
      </c>
      <c r="K73" s="207">
        <f>IF(OR(Tabulations!$F67=3,Tabulations!$E67=2),0,IF(Tabulations!Y67=MAX(Tabulations!$W67:$AA67),Tabulations!Y67,0))</f>
        <v>0</v>
      </c>
      <c r="L73" s="207">
        <f>IF(OR(Tabulations!$F67=3,Tabulations!$E67=2),0,IF(Tabulations!Z67=MAX(Tabulations!$W67:$AA67),Tabulations!Z67,0))</f>
        <v>0</v>
      </c>
      <c r="M73" s="207" t="s">
        <v>18</v>
      </c>
      <c r="N73" s="28">
        <f t="shared" si="4"/>
        <v>0</v>
      </c>
      <c r="O73" s="25">
        <f>Tabulations!S67</f>
        <v>26</v>
      </c>
      <c r="P73" s="25">
        <f>Points!H57</f>
        <v>26</v>
      </c>
    </row>
    <row r="74" spans="1:17">
      <c r="A74" s="22"/>
      <c r="B74" s="22"/>
      <c r="C74" s="50" t="s">
        <v>92</v>
      </c>
      <c r="D74" s="211"/>
      <c r="E74" s="26" t="s">
        <v>93</v>
      </c>
      <c r="F74" s="27" t="str">
        <f>Tabulations!Q68</f>
        <v>Not Assessed</v>
      </c>
      <c r="G74" s="27">
        <f>Tabulations!N68</f>
        <v>0</v>
      </c>
      <c r="H74" s="27">
        <f>Tabulations!O68</f>
        <v>0</v>
      </c>
      <c r="I74" s="207" t="s">
        <v>18</v>
      </c>
      <c r="J74" s="207">
        <f>IF(OR(Tabulations!$F68=3,Tabulations!$E68=2),0,IF(Tabulations!X68=MAX(Tabulations!$W68:$AA68),Tabulations!X68,0))</f>
        <v>0</v>
      </c>
      <c r="K74" s="207">
        <f>IF(OR(Tabulations!$F68=3,Tabulations!$E68=2),0,IF(Tabulations!Y68=MAX(Tabulations!$W68:$AA68),Tabulations!Y68,0))</f>
        <v>0</v>
      </c>
      <c r="L74" s="207">
        <f>IF(OR(Tabulations!$F68=3,Tabulations!$E68=2),0,IF(Tabulations!Z68=MAX(Tabulations!$W68:$AA68),Tabulations!Z68,0))</f>
        <v>0</v>
      </c>
      <c r="M74" s="207" t="s">
        <v>18</v>
      </c>
      <c r="N74" s="28">
        <f t="shared" si="4"/>
        <v>0</v>
      </c>
      <c r="O74" s="25">
        <f>Tabulations!S68</f>
        <v>20</v>
      </c>
      <c r="P74" s="25">
        <f>Points!H58</f>
        <v>20</v>
      </c>
    </row>
    <row r="75" spans="1:17">
      <c r="A75" s="22"/>
      <c r="B75" s="22"/>
      <c r="C75" s="34"/>
      <c r="D75" s="211"/>
      <c r="E75" s="26" t="s">
        <v>94</v>
      </c>
      <c r="F75" s="27" t="str">
        <f>Tabulations!Q69</f>
        <v>Not Assessed</v>
      </c>
      <c r="G75" s="27">
        <f>Tabulations!N69</f>
        <v>0</v>
      </c>
      <c r="H75" s="27">
        <f>Tabulations!O69</f>
        <v>0</v>
      </c>
      <c r="I75" s="207">
        <f>IF(OR(Tabulations!$F69=3,Tabulations!$E69=2),0,IF(Tabulations!W69=MAX(Tabulations!$W69:$AA69),Tabulations!W69,0))</f>
        <v>0</v>
      </c>
      <c r="J75" s="207">
        <f>IF(OR(Tabulations!$F69=3,Tabulations!$E69=2),0,IF(Tabulations!X69=MAX(Tabulations!$W69:$AA69),Tabulations!X69,0))</f>
        <v>0</v>
      </c>
      <c r="K75" s="207">
        <f>IF(OR(Tabulations!$F69=3,Tabulations!$E69=2),0,IF(Tabulations!Y69=MAX(Tabulations!$W69:$AA69),Tabulations!Y69,0))</f>
        <v>0</v>
      </c>
      <c r="L75" s="207">
        <f>IF(OR(Tabulations!$F69=3,Tabulations!$E69=2),0,IF(Tabulations!Z69=MAX(Tabulations!$W69:$AA69),Tabulations!Z69,0))</f>
        <v>0</v>
      </c>
      <c r="M75" s="207" t="s">
        <v>18</v>
      </c>
      <c r="N75" s="28">
        <f t="shared" si="4"/>
        <v>0</v>
      </c>
      <c r="O75" s="25">
        <f>Tabulations!S69</f>
        <v>26</v>
      </c>
      <c r="P75" s="25">
        <f>Points!H59</f>
        <v>26</v>
      </c>
    </row>
    <row r="76" spans="1:17">
      <c r="A76" s="22"/>
      <c r="B76" s="22"/>
      <c r="C76" s="35"/>
      <c r="D76" s="212"/>
      <c r="E76" s="26" t="s">
        <v>95</v>
      </c>
      <c r="F76" s="27" t="str">
        <f>Tabulations!Q70</f>
        <v>Not Assessed</v>
      </c>
      <c r="G76" s="27">
        <f>Tabulations!N70</f>
        <v>0</v>
      </c>
      <c r="H76" s="27">
        <f>Tabulations!O70</f>
        <v>0</v>
      </c>
      <c r="I76" s="207">
        <f>IF(OR(Tabulations!$F70=3,Tabulations!$E70=2),0,IF(Tabulations!W70=MAX(Tabulations!$W70:$AA70),Tabulations!W70,0))</f>
        <v>0</v>
      </c>
      <c r="J76" s="207">
        <f>IF(OR(Tabulations!$F70=3,Tabulations!$E70=2),0,IF(Tabulations!X70=MAX(Tabulations!$W70:$AA70),Tabulations!X70,0))</f>
        <v>0</v>
      </c>
      <c r="K76" s="207">
        <f>IF(OR(Tabulations!$F70=3,Tabulations!$E70=2),0,IF(Tabulations!Y70=MAX(Tabulations!$W70:$AA70),Tabulations!Y70,0))</f>
        <v>0</v>
      </c>
      <c r="L76" s="207">
        <f>IF(OR(Tabulations!$F70=3,Tabulations!$E70=2),0,IF(Tabulations!Z70=MAX(Tabulations!$W70:$AA70),Tabulations!Z70,0))</f>
        <v>0</v>
      </c>
      <c r="M76" s="207">
        <f>IF(OR(Tabulations!$F70=3,Tabulations!$E70=2),0,IF(Tabulations!AA70=MAX(Tabulations!$W70:$AA70),Tabulations!AA70,0))</f>
        <v>0</v>
      </c>
      <c r="N76" s="28">
        <f t="shared" si="4"/>
        <v>0</v>
      </c>
      <c r="O76" s="25">
        <f>Tabulations!S70</f>
        <v>18</v>
      </c>
      <c r="P76" s="25">
        <f>Points!H60</f>
        <v>18</v>
      </c>
    </row>
    <row r="77" spans="1:17">
      <c r="A77" s="22"/>
      <c r="B77" s="22"/>
      <c r="C77" s="22"/>
      <c r="D77" s="49"/>
      <c r="E77" s="49"/>
      <c r="F77" s="49"/>
      <c r="G77" s="49"/>
      <c r="H77" s="49"/>
      <c r="I77" s="49"/>
      <c r="J77" s="49"/>
      <c r="K77" s="49"/>
      <c r="L77" s="49"/>
      <c r="M77" s="49"/>
      <c r="N77" s="49"/>
      <c r="O77" s="49"/>
      <c r="P77" s="49"/>
    </row>
    <row r="78" spans="1:17" ht="28.35" customHeight="1">
      <c r="A78" s="22"/>
      <c r="B78" s="22"/>
      <c r="C78" s="22"/>
      <c r="D78" s="49"/>
      <c r="E78" s="49"/>
      <c r="F78" s="221" t="s">
        <v>1</v>
      </c>
      <c r="G78" s="223" t="s">
        <v>2</v>
      </c>
      <c r="H78" s="224"/>
      <c r="I78" s="225" t="s">
        <v>3</v>
      </c>
      <c r="J78" s="226"/>
      <c r="K78" s="226"/>
      <c r="L78" s="226"/>
      <c r="M78" s="226"/>
      <c r="N78" s="227"/>
      <c r="O78" s="228" t="s">
        <v>4</v>
      </c>
      <c r="P78" s="228" t="s">
        <v>5</v>
      </c>
    </row>
    <row r="79" spans="1:17">
      <c r="A79" s="22"/>
      <c r="B79" s="22"/>
      <c r="C79" s="22"/>
      <c r="D79" s="23"/>
      <c r="E79" s="23"/>
      <c r="F79" s="222"/>
      <c r="G79" s="32" t="s">
        <v>6</v>
      </c>
      <c r="H79" s="32" t="s">
        <v>7</v>
      </c>
      <c r="I79" s="32" t="s">
        <v>8</v>
      </c>
      <c r="J79" s="32" t="s">
        <v>9</v>
      </c>
      <c r="K79" s="32" t="s">
        <v>10</v>
      </c>
      <c r="L79" s="32" t="s">
        <v>11</v>
      </c>
      <c r="M79" s="32" t="s">
        <v>12</v>
      </c>
      <c r="N79" s="32" t="s">
        <v>13</v>
      </c>
      <c r="O79" s="228"/>
      <c r="P79" s="228"/>
    </row>
    <row r="80" spans="1:17" ht="18">
      <c r="A80" s="22"/>
      <c r="B80" s="22"/>
      <c r="C80" s="22"/>
      <c r="D80" s="23"/>
      <c r="E80" s="30" t="s">
        <v>96</v>
      </c>
      <c r="F80" s="195" t="str">
        <f>IF(COUNTIF(F6:F76,"Not Assessed")&gt;=1,COUNTIF(F6:F76,"Not Assessed") &amp; " Not Assessed","All Credits Assessed")</f>
        <v>59 Not Assessed</v>
      </c>
      <c r="G80" s="31">
        <f t="shared" ref="G80:P80" si="5">SUM(G6:G76)</f>
        <v>0</v>
      </c>
      <c r="H80" s="31">
        <f t="shared" si="5"/>
        <v>0</v>
      </c>
      <c r="I80" s="31">
        <f t="shared" si="5"/>
        <v>0</v>
      </c>
      <c r="J80" s="31">
        <f t="shared" si="5"/>
        <v>0</v>
      </c>
      <c r="K80" s="31">
        <f t="shared" si="5"/>
        <v>0</v>
      </c>
      <c r="L80" s="31">
        <f t="shared" si="5"/>
        <v>0</v>
      </c>
      <c r="M80" s="31">
        <f t="shared" si="5"/>
        <v>0</v>
      </c>
      <c r="N80" s="31">
        <f t="shared" si="5"/>
        <v>0</v>
      </c>
      <c r="O80" s="31">
        <f t="shared" si="5"/>
        <v>1000</v>
      </c>
      <c r="P80" s="31">
        <f t="shared" si="5"/>
        <v>1000</v>
      </c>
      <c r="Q80" s="194">
        <f>N80/O80</f>
        <v>0</v>
      </c>
    </row>
    <row r="81" spans="1:16">
      <c r="A81" s="22"/>
      <c r="B81" s="22"/>
      <c r="C81" s="22"/>
      <c r="D81" s="23"/>
      <c r="E81" s="55"/>
      <c r="F81" s="56"/>
      <c r="G81" s="56"/>
      <c r="H81" s="56"/>
      <c r="I81" s="56"/>
      <c r="J81" s="56"/>
      <c r="K81" s="56"/>
      <c r="L81" s="56"/>
      <c r="M81" s="56"/>
      <c r="N81" s="56"/>
      <c r="O81" s="56"/>
      <c r="P81" s="22"/>
    </row>
    <row r="82" spans="1:16">
      <c r="A82" s="22"/>
      <c r="B82" s="22"/>
      <c r="C82" s="22"/>
      <c r="D82" s="23"/>
      <c r="E82" s="30" t="s">
        <v>97</v>
      </c>
      <c r="F82" s="213" t="str">
        <f>IF(Q80&gt;=0.5,"Platinum",IF(AND(Q80&lt;0.5,Q80&gt;=0.4),"Gold",IF(AND(Q80&lt;0.4,Q80&gt;0.3),"Silver",IF(AND(Q80&lt;0.3,Q80&gt;=0.2),"Verified","No Level Achieved"))))</f>
        <v>No Level Achieved</v>
      </c>
      <c r="G82" s="213"/>
      <c r="H82" s="213"/>
      <c r="I82" s="213"/>
      <c r="J82" s="213"/>
      <c r="K82" s="213"/>
      <c r="L82" s="213"/>
      <c r="M82" s="213"/>
      <c r="N82" s="213"/>
      <c r="O82" s="214"/>
      <c r="P82" s="22"/>
    </row>
    <row r="83" spans="1:16">
      <c r="A83" s="22"/>
      <c r="B83" s="22"/>
      <c r="C83" s="22"/>
      <c r="D83" s="23"/>
      <c r="E83" s="23"/>
      <c r="F83" s="24"/>
      <c r="G83" s="24"/>
      <c r="H83" s="24"/>
      <c r="I83" s="24"/>
      <c r="J83" s="24"/>
      <c r="K83" s="24"/>
      <c r="L83" s="24"/>
      <c r="M83" s="24"/>
      <c r="N83" s="24"/>
      <c r="O83" s="24"/>
      <c r="P83" s="22"/>
    </row>
    <row r="84" spans="1:16" hidden="1">
      <c r="A84" s="22"/>
      <c r="B84" s="22"/>
      <c r="C84" s="22"/>
      <c r="D84" s="23"/>
      <c r="E84" s="23"/>
      <c r="F84" s="24"/>
      <c r="G84" s="24"/>
      <c r="H84" s="24"/>
      <c r="I84" s="24"/>
      <c r="J84" s="24"/>
      <c r="K84" s="24"/>
      <c r="L84" s="24"/>
      <c r="M84" s="24"/>
      <c r="N84" s="24"/>
      <c r="O84" s="24"/>
      <c r="P84" s="22"/>
    </row>
  </sheetData>
  <sheetProtection sheet="1" objects="1" scenarios="1"/>
  <mergeCells count="45">
    <mergeCell ref="P66:P67"/>
    <mergeCell ref="P78:P79"/>
    <mergeCell ref="P4:P5"/>
    <mergeCell ref="P20:P21"/>
    <mergeCell ref="P34:P35"/>
    <mergeCell ref="P50:P51"/>
    <mergeCell ref="G34:H34"/>
    <mergeCell ref="I34:N34"/>
    <mergeCell ref="O34:O35"/>
    <mergeCell ref="O66:O67"/>
    <mergeCell ref="F78:F79"/>
    <mergeCell ref="G78:H78"/>
    <mergeCell ref="I78:N78"/>
    <mergeCell ref="O78:O79"/>
    <mergeCell ref="O4:O5"/>
    <mergeCell ref="I4:N4"/>
    <mergeCell ref="G4:H4"/>
    <mergeCell ref="F4:F5"/>
    <mergeCell ref="D68:D70"/>
    <mergeCell ref="D30:D32"/>
    <mergeCell ref="D6:D11"/>
    <mergeCell ref="D12:D14"/>
    <mergeCell ref="D15:D18"/>
    <mergeCell ref="D22:D25"/>
    <mergeCell ref="D26:D29"/>
    <mergeCell ref="F20:F21"/>
    <mergeCell ref="G20:H20"/>
    <mergeCell ref="I20:N20"/>
    <mergeCell ref="O20:O21"/>
    <mergeCell ref="F34:F35"/>
    <mergeCell ref="D71:D76"/>
    <mergeCell ref="F82:O82"/>
    <mergeCell ref="D36:D40"/>
    <mergeCell ref="D41:D44"/>
    <mergeCell ref="D45:D48"/>
    <mergeCell ref="D52:D55"/>
    <mergeCell ref="D56:D59"/>
    <mergeCell ref="D60:D64"/>
    <mergeCell ref="F50:F51"/>
    <mergeCell ref="G50:H50"/>
    <mergeCell ref="I50:N50"/>
    <mergeCell ref="O50:O51"/>
    <mergeCell ref="F66:F67"/>
    <mergeCell ref="G66:H66"/>
    <mergeCell ref="I66:N66"/>
  </mergeCells>
  <conditionalFormatting sqref="I6:I12">
    <cfRule type="expression" dxfId="171" priority="319">
      <formula>$I6&gt;0</formula>
    </cfRule>
  </conditionalFormatting>
  <conditionalFormatting sqref="I14:I15">
    <cfRule type="expression" dxfId="170" priority="301">
      <formula>$I14&gt;0</formula>
    </cfRule>
  </conditionalFormatting>
  <conditionalFormatting sqref="I17:I18">
    <cfRule type="expression" dxfId="169" priority="283">
      <formula>$I17&gt;0</formula>
    </cfRule>
  </conditionalFormatting>
  <conditionalFormatting sqref="I22:I32">
    <cfRule type="expression" dxfId="168" priority="223">
      <formula>$I22&gt;0</formula>
    </cfRule>
  </conditionalFormatting>
  <conditionalFormatting sqref="I36:I48">
    <cfRule type="expression" dxfId="167" priority="137">
      <formula>$I36&gt;0</formula>
    </cfRule>
  </conditionalFormatting>
  <conditionalFormatting sqref="I52:I53">
    <cfRule type="expression" dxfId="166" priority="125">
      <formula>$I52&gt;0</formula>
    </cfRule>
  </conditionalFormatting>
  <conditionalFormatting sqref="I55:I63">
    <cfRule type="expression" dxfId="165" priority="65">
      <formula>$I55&gt;0</formula>
    </cfRule>
  </conditionalFormatting>
  <conditionalFormatting sqref="I68:I73">
    <cfRule type="expression" dxfId="164" priority="23">
      <formula>$I68&gt;0</formula>
    </cfRule>
  </conditionalFormatting>
  <conditionalFormatting sqref="I75:I76">
    <cfRule type="expression" dxfId="163" priority="5">
      <formula>$I75&gt;0</formula>
    </cfRule>
  </conditionalFormatting>
  <conditionalFormatting sqref="I36:M42">
    <cfRule type="expression" dxfId="162" priority="169">
      <formula>$F36="Not Applicable"</formula>
    </cfRule>
  </conditionalFormatting>
  <conditionalFormatting sqref="I43:M43">
    <cfRule type="expression" dxfId="161" priority="218">
      <formula>$F43="Not Applicable"</formula>
    </cfRule>
  </conditionalFormatting>
  <conditionalFormatting sqref="I44:M48">
    <cfRule type="expression" dxfId="160" priority="138">
      <formula>$F44="Not Applicable"</formula>
    </cfRule>
  </conditionalFormatting>
  <conditionalFormatting sqref="I52:M53">
    <cfRule type="expression" dxfId="159" priority="126">
      <formula>$F52="Not Applicable"</formula>
    </cfRule>
  </conditionalFormatting>
  <conditionalFormatting sqref="I54:M63">
    <cfRule type="expression" dxfId="158" priority="66">
      <formula>$F54="Not Applicable"</formula>
    </cfRule>
  </conditionalFormatting>
  <conditionalFormatting sqref="I64:M64">
    <cfRule type="expression" dxfId="157" priority="60">
      <formula>$F64="Not Applicable"</formula>
    </cfRule>
  </conditionalFormatting>
  <conditionalFormatting sqref="I68:M71">
    <cfRule type="expression" dxfId="156" priority="36">
      <formula>$F68="Not Applicable"</formula>
    </cfRule>
  </conditionalFormatting>
  <conditionalFormatting sqref="I72:M73">
    <cfRule type="expression" dxfId="155" priority="24">
      <formula>$F72="Not Applicable"</formula>
    </cfRule>
  </conditionalFormatting>
  <conditionalFormatting sqref="I74:M76">
    <cfRule type="expression" dxfId="154" priority="6">
      <formula>$F74="Not Applicable"</formula>
    </cfRule>
  </conditionalFormatting>
  <conditionalFormatting sqref="I6:N7">
    <cfRule type="expression" dxfId="153" priority="350">
      <formula>$F6="Not Applicable"</formula>
    </cfRule>
  </conditionalFormatting>
  <conditionalFormatting sqref="I8:N10">
    <cfRule type="expression" dxfId="152" priority="332">
      <formula>$F8="Not Applicable"</formula>
    </cfRule>
  </conditionalFormatting>
  <conditionalFormatting sqref="I11:N12">
    <cfRule type="expression" dxfId="151" priority="320">
      <formula>$F11="Not Applicable"</formula>
    </cfRule>
  </conditionalFormatting>
  <conditionalFormatting sqref="I13:N13">
    <cfRule type="expression" dxfId="150" priority="314">
      <formula>$F13="Not Applicable"</formula>
    </cfRule>
  </conditionalFormatting>
  <conditionalFormatting sqref="I14:N15">
    <cfRule type="expression" dxfId="149" priority="302">
      <formula>$F14="Not Applicable"</formula>
    </cfRule>
  </conditionalFormatting>
  <conditionalFormatting sqref="I16:N18">
    <cfRule type="expression" dxfId="148" priority="284">
      <formula>$F16="Not Applicable"</formula>
    </cfRule>
  </conditionalFormatting>
  <conditionalFormatting sqref="I22:N25">
    <cfRule type="expression" dxfId="147" priority="266">
      <formula>$F22="Not Applicable"</formula>
    </cfRule>
  </conditionalFormatting>
  <conditionalFormatting sqref="I26:N27">
    <cfRule type="expression" dxfId="146" priority="254">
      <formula>$F26="Not Applicable"</formula>
    </cfRule>
  </conditionalFormatting>
  <conditionalFormatting sqref="I28:N32">
    <cfRule type="expression" dxfId="145" priority="224">
      <formula>$F28="Not Applicable"</formula>
    </cfRule>
  </conditionalFormatting>
  <conditionalFormatting sqref="J6:J18">
    <cfRule type="expression" dxfId="144" priority="282">
      <formula>$J6&gt;0</formula>
    </cfRule>
  </conditionalFormatting>
  <conditionalFormatting sqref="J22:J32">
    <cfRule type="expression" dxfId="143" priority="222">
      <formula>$J22&gt;0</formula>
    </cfRule>
  </conditionalFormatting>
  <conditionalFormatting sqref="J36:J48">
    <cfRule type="expression" dxfId="142" priority="136">
      <formula>$J36&gt;0</formula>
    </cfRule>
  </conditionalFormatting>
  <conditionalFormatting sqref="J52:J64">
    <cfRule type="expression" dxfId="141" priority="58">
      <formula>$J52&gt;0</formula>
    </cfRule>
  </conditionalFormatting>
  <conditionalFormatting sqref="J68:J76">
    <cfRule type="expression" dxfId="140" priority="4">
      <formula>$J68&gt;0</formula>
    </cfRule>
  </conditionalFormatting>
  <conditionalFormatting sqref="K6:K18">
    <cfRule type="expression" dxfId="139" priority="281">
      <formula>$K6&gt;0</formula>
    </cfRule>
  </conditionalFormatting>
  <conditionalFormatting sqref="K22:K32">
    <cfRule type="expression" dxfId="138" priority="221">
      <formula>$K22&gt;0</formula>
    </cfRule>
  </conditionalFormatting>
  <conditionalFormatting sqref="K36:K48">
    <cfRule type="expression" dxfId="137" priority="135">
      <formula>$K36&gt;0</formula>
    </cfRule>
  </conditionalFormatting>
  <conditionalFormatting sqref="K52:K64">
    <cfRule type="expression" dxfId="136" priority="57">
      <formula>$K52&gt;0</formula>
    </cfRule>
  </conditionalFormatting>
  <conditionalFormatting sqref="K68:K76">
    <cfRule type="expression" dxfId="135" priority="3">
      <formula>$K68&gt;0</formula>
    </cfRule>
  </conditionalFormatting>
  <conditionalFormatting sqref="L6:L18">
    <cfRule type="expression" dxfId="134" priority="280">
      <formula>$L6&gt;0</formula>
    </cfRule>
  </conditionalFormatting>
  <conditionalFormatting sqref="L22:L32">
    <cfRule type="expression" dxfId="133" priority="220">
      <formula>$L22&gt;0</formula>
    </cfRule>
  </conditionalFormatting>
  <conditionalFormatting sqref="L36:L48">
    <cfRule type="expression" dxfId="132" priority="134">
      <formula>$L36&gt;0</formula>
    </cfRule>
  </conditionalFormatting>
  <conditionalFormatting sqref="L52:L64">
    <cfRule type="expression" dxfId="131" priority="56">
      <formula>$L52&gt;0</formula>
    </cfRule>
  </conditionalFormatting>
  <conditionalFormatting sqref="L68:L76">
    <cfRule type="expression" dxfId="130" priority="2">
      <formula>$L68&gt;0</formula>
    </cfRule>
  </conditionalFormatting>
  <conditionalFormatting sqref="M6:M7">
    <cfRule type="expression" dxfId="129" priority="345">
      <formula>$M6&gt;0</formula>
    </cfRule>
  </conditionalFormatting>
  <conditionalFormatting sqref="M9:M10">
    <cfRule type="expression" dxfId="128" priority="327">
      <formula>$M9&gt;0</formula>
    </cfRule>
  </conditionalFormatting>
  <conditionalFormatting sqref="M12:M13">
    <cfRule type="expression" dxfId="127" priority="309">
      <formula>$M12&gt;0</formula>
    </cfRule>
  </conditionalFormatting>
  <conditionalFormatting sqref="M15:M18">
    <cfRule type="expression" dxfId="126" priority="279">
      <formula>$M15&gt;0</formula>
    </cfRule>
  </conditionalFormatting>
  <conditionalFormatting sqref="M24:M25">
    <cfRule type="expression" dxfId="125" priority="261">
      <formula>$M24&gt;0</formula>
    </cfRule>
  </conditionalFormatting>
  <conditionalFormatting sqref="M27">
    <cfRule type="expression" dxfId="124" priority="249">
      <formula>$M27&gt;0</formula>
    </cfRule>
  </conditionalFormatting>
  <conditionalFormatting sqref="M31:M32">
    <cfRule type="expression" dxfId="123" priority="219">
      <formula>$M31&gt;0</formula>
    </cfRule>
  </conditionalFormatting>
  <conditionalFormatting sqref="M43">
    <cfRule type="expression" dxfId="122" priority="213">
      <formula>$M43&gt;0</formula>
    </cfRule>
  </conditionalFormatting>
  <conditionalFormatting sqref="M45:M46">
    <cfRule type="expression" dxfId="121" priority="133">
      <formula>$M45&gt;0</formula>
    </cfRule>
  </conditionalFormatting>
  <conditionalFormatting sqref="M52:M64">
    <cfRule type="expression" dxfId="120" priority="55">
      <formula>$M52&gt;0</formula>
    </cfRule>
  </conditionalFormatting>
  <conditionalFormatting sqref="M69:M71">
    <cfRule type="expression" dxfId="119" priority="31">
      <formula>$M69&gt;0</formula>
    </cfRule>
  </conditionalFormatting>
  <conditionalFormatting sqref="M76">
    <cfRule type="expression" dxfId="118" priority="1">
      <formula>$M76&gt;0</formula>
    </cfRule>
  </conditionalFormatting>
  <pageMargins left="0.7" right="0.7" top="0.75" bottom="0.75" header="0.3" footer="0.3"/>
  <pageSetup paperSize="3" orientation="landscape" horizontalDpi="1200" verticalDpi="1200" r:id="rId1"/>
  <rowBreaks count="2" manualBreakCount="2">
    <brk id="33" max="16383" man="1"/>
    <brk id="65" max="16383"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C2:AH78"/>
  <sheetViews>
    <sheetView topLeftCell="A9" zoomScale="90" zoomScaleNormal="90" zoomScalePageLayoutView="55" workbookViewId="0">
      <selection activeCell="G40" sqref="G40"/>
    </sheetView>
  </sheetViews>
  <sheetFormatPr defaultColWidth="11" defaultRowHeight="15.75"/>
  <cols>
    <col min="2" max="2" width="9" customWidth="1"/>
    <col min="3" max="3" width="50" customWidth="1"/>
    <col min="4" max="4" width="9.125" style="5" customWidth="1"/>
    <col min="5" max="13" width="5.125" style="3" customWidth="1"/>
    <col min="14" max="15" width="4.625" style="3" customWidth="1"/>
    <col min="16" max="16" width="2.125" style="3" customWidth="1"/>
    <col min="17" max="17" width="8.625" customWidth="1"/>
    <col min="18" max="18" width="4.5" customWidth="1"/>
    <col min="19" max="22" width="3.125" customWidth="1"/>
    <col min="23" max="23" width="4" customWidth="1"/>
    <col min="24" max="29" width="3.125" customWidth="1"/>
    <col min="33" max="33" width="13.125" customWidth="1"/>
    <col min="34" max="34" width="15.125" customWidth="1"/>
  </cols>
  <sheetData>
    <row r="2" spans="3:34" ht="17.100000000000001" customHeight="1">
      <c r="D2" s="5" t="s">
        <v>98</v>
      </c>
      <c r="E2" s="3" t="s">
        <v>99</v>
      </c>
      <c r="G2" s="3" t="s">
        <v>100</v>
      </c>
      <c r="V2" t="s">
        <v>101</v>
      </c>
      <c r="AD2" t="s">
        <v>102</v>
      </c>
    </row>
    <row r="3" spans="3:34" ht="79.349999999999994" customHeight="1">
      <c r="C3" s="16"/>
      <c r="D3" s="17"/>
      <c r="E3" s="18" t="s">
        <v>103</v>
      </c>
      <c r="F3" s="18" t="s">
        <v>104</v>
      </c>
      <c r="G3" s="18" t="s">
        <v>105</v>
      </c>
      <c r="H3" s="18" t="s">
        <v>106</v>
      </c>
      <c r="I3" s="18" t="s">
        <v>107</v>
      </c>
      <c r="J3" s="18" t="s">
        <v>108</v>
      </c>
      <c r="K3" s="18" t="s">
        <v>109</v>
      </c>
      <c r="L3" s="18" t="s">
        <v>110</v>
      </c>
      <c r="M3" s="18" t="s">
        <v>111</v>
      </c>
      <c r="N3" s="18" t="s">
        <v>6</v>
      </c>
      <c r="O3" s="18" t="s">
        <v>7</v>
      </c>
      <c r="P3" s="18"/>
      <c r="Q3" s="19" t="s">
        <v>112</v>
      </c>
      <c r="R3" s="19" t="s">
        <v>113</v>
      </c>
      <c r="S3" s="19" t="s">
        <v>114</v>
      </c>
      <c r="T3" s="19" t="s">
        <v>115</v>
      </c>
      <c r="U3" s="19"/>
      <c r="V3" s="19" t="s">
        <v>116</v>
      </c>
      <c r="W3" s="19" t="s">
        <v>8</v>
      </c>
      <c r="X3" s="19" t="s">
        <v>9</v>
      </c>
      <c r="Y3" s="19" t="s">
        <v>10</v>
      </c>
      <c r="Z3" s="19" t="s">
        <v>11</v>
      </c>
      <c r="AA3" s="19" t="s">
        <v>12</v>
      </c>
      <c r="AB3" s="19"/>
      <c r="AC3" s="19"/>
      <c r="AD3" s="18" t="s">
        <v>8</v>
      </c>
      <c r="AE3" s="18" t="s">
        <v>9</v>
      </c>
      <c r="AF3" s="18" t="s">
        <v>10</v>
      </c>
      <c r="AG3" s="18" t="s">
        <v>11</v>
      </c>
      <c r="AH3" s="18" t="s">
        <v>12</v>
      </c>
    </row>
    <row r="4" spans="3:34">
      <c r="C4" t="s">
        <v>15</v>
      </c>
      <c r="D4" s="5">
        <f t="shared" ref="D4:D16" si="0">SUM(N4:O4)</f>
        <v>0</v>
      </c>
      <c r="E4" s="3">
        <f>IF('Quality of Life'!$F$10="Yes",1,2)</f>
        <v>2</v>
      </c>
      <c r="F4" s="3">
        <f>IF('Quality of Life'!$F$10="No",3,0)</f>
        <v>0</v>
      </c>
      <c r="G4" s="3">
        <f>IF('Quality of Life'!F12="Yes",1,2)</f>
        <v>2</v>
      </c>
      <c r="H4" s="3">
        <f>IF('Quality of Life'!F13="Yes",1,2)</f>
        <v>2</v>
      </c>
      <c r="I4" s="3">
        <f>IF('Quality of Life'!F14="Yes",1,2)</f>
        <v>2</v>
      </c>
      <c r="J4" s="3">
        <f>IF('Quality of Life'!F15="Yes",1,2)</f>
        <v>2</v>
      </c>
      <c r="K4" s="3">
        <f>IF('Quality of Life'!F16="Yes",1,2)</f>
        <v>2</v>
      </c>
      <c r="L4" s="3">
        <f>IF('Quality of Life'!F17="Yes",1,2)</f>
        <v>2</v>
      </c>
      <c r="M4" s="3">
        <f>IF('Quality of Life'!F18="Yes",1,2)</f>
        <v>2</v>
      </c>
      <c r="N4" s="3">
        <f>IF(OR(F4=3,E4=2),0, COUNTIF(G4:M4, 1)+COUNTIF(G4:M4, "A")+ COUNTIF(G4:M4, "B")+ COUNTIF(G4:M4, "C")+ COUNTIF(G4:M4, "D")+ COUNTIF(G4:M4, "E"))</f>
        <v>0</v>
      </c>
      <c r="O4" s="3">
        <f>IF(OR(F4=3,E4=2),0,COUNTIF(G4:M4, 2)+COUNTIF(G4:M4, 0))</f>
        <v>0</v>
      </c>
      <c r="Q4" t="str">
        <f>IF(R4="Y","Not Applicable",IF(E4=1,"Assessed","Not Assessed"))</f>
        <v>Not Assessed</v>
      </c>
      <c r="R4" t="str">
        <f>IF(F4=3, "Y", "N")</f>
        <v>N</v>
      </c>
      <c r="S4">
        <f>IF(R4="Y", 0, Points!H2)</f>
        <v>26</v>
      </c>
      <c r="T4">
        <f>IF(Tabulations!E4=1, MAX(Tabulations!V4:AA4), 0)</f>
        <v>0</v>
      </c>
      <c r="V4">
        <v>0</v>
      </c>
      <c r="W4">
        <f>IF(AND(G4=1, H4=1), Points!C2, 0)</f>
        <v>0</v>
      </c>
      <c r="X4">
        <f>IF(AND(G4=1, H4=1,I4= 1, J4=1),Points!D2, 0)</f>
        <v>0</v>
      </c>
      <c r="Y4">
        <f>IF(AND(G4=1, H4=1,I4= 1, J4=1, K4=1), Points!E2, 0)</f>
        <v>0</v>
      </c>
      <c r="Z4">
        <f>IF(AND(G4=1, H4=1,I4= 1, J4=1, K4=1, L4=1),Points!F2,0)</f>
        <v>0</v>
      </c>
      <c r="AA4">
        <f>IF(AND(G4=1, H4=1,I4= 1, J4=1, K4=1, L4=1, M4=1),Points!G2, 0)</f>
        <v>0</v>
      </c>
      <c r="AD4" t="s">
        <v>117</v>
      </c>
      <c r="AE4" t="s">
        <v>118</v>
      </c>
      <c r="AF4" t="s">
        <v>119</v>
      </c>
      <c r="AG4" t="s">
        <v>120</v>
      </c>
      <c r="AH4" t="s">
        <v>121</v>
      </c>
    </row>
    <row r="5" spans="3:34">
      <c r="C5" t="s">
        <v>16</v>
      </c>
      <c r="D5" s="5">
        <f t="shared" si="0"/>
        <v>0</v>
      </c>
      <c r="E5" s="3">
        <f>IF('Quality of Life'!F26="Yes",1,2)</f>
        <v>2</v>
      </c>
      <c r="F5" s="3">
        <f>IF('Quality of Life'!F26="No",3,0)</f>
        <v>0</v>
      </c>
      <c r="G5" s="3">
        <f>IF('Quality of Life'!$F28="Yes",1,2)</f>
        <v>2</v>
      </c>
      <c r="H5" s="3">
        <f>IF('Quality of Life'!$F29="Yes",1,2)</f>
        <v>2</v>
      </c>
      <c r="I5" s="3">
        <f>IF('Quality of Life'!$F30="Yes",1,2)</f>
        <v>2</v>
      </c>
      <c r="J5" s="3">
        <f>IF('Quality of Life'!$F31="Yes",1,2)</f>
        <v>2</v>
      </c>
      <c r="K5" s="3">
        <f>IF('Quality of Life'!$F32="Yes",1,2)</f>
        <v>2</v>
      </c>
      <c r="L5" s="3">
        <f>IF('Quality of Life'!$F33="Yes",1,2)</f>
        <v>2</v>
      </c>
      <c r="M5" s="13"/>
      <c r="N5" s="3">
        <f t="shared" ref="N5:N16" si="1">IF(OR(F5=3,E5=2),0, COUNTIF(G5:M5, 1)+COUNTIF(G5:M5, "A")+ COUNTIF(G5:M5, "B")+ COUNTIF(G5:M5, "C")+ COUNTIF(G5:M5, "D")+ COUNTIF(G5:M5, "E"))</f>
        <v>0</v>
      </c>
      <c r="O5" s="3">
        <f t="shared" ref="O5:O16" si="2">IF(OR(F5=3,E5=2),0,COUNTIF(G5:M5, 2)+COUNTIF(G5:M5, 0))</f>
        <v>0</v>
      </c>
      <c r="Q5" t="str">
        <f t="shared" ref="Q5:Q16" si="3">IF(R5="Y","Not Applicable",IF(E5=1,"Assessed","Not Assessed"))</f>
        <v>Not Assessed</v>
      </c>
      <c r="R5" t="str">
        <f t="shared" ref="R5:R16" si="4">IF(F5=3, "Y", "N")</f>
        <v>N</v>
      </c>
      <c r="S5">
        <f>IF(R5="Y", 0, Points!H3)</f>
        <v>20</v>
      </c>
      <c r="T5">
        <f>IF(Tabulations!E5=1, MAX(Tabulations!V5:AA5), 0)</f>
        <v>0</v>
      </c>
      <c r="V5">
        <v>0</v>
      </c>
      <c r="W5">
        <f>IF(AND(G5=1, H5=1), Points!C3, 0)</f>
        <v>0</v>
      </c>
      <c r="X5">
        <f>IF(AND(G5=1, H5=1,I5= 1),Points!D3, 0)</f>
        <v>0</v>
      </c>
      <c r="Y5">
        <f>IF(AND(G5=1, H5=1,I5= 1, J5=1), Points!E3, 0)</f>
        <v>0</v>
      </c>
      <c r="Z5">
        <f>IF(AND(G5=1, H5=1,I5= 1, J5=1, K5=1),Points!F3,0)</f>
        <v>0</v>
      </c>
      <c r="AA5">
        <f>IF(AND(G5=1, H5=1,I5= 1, J5=1, K5=1, L5=1),Points!G3,0)</f>
        <v>0</v>
      </c>
      <c r="AD5" t="s">
        <v>117</v>
      </c>
      <c r="AE5" t="s">
        <v>122</v>
      </c>
      <c r="AF5" t="s">
        <v>118</v>
      </c>
      <c r="AG5" t="s">
        <v>119</v>
      </c>
      <c r="AH5" t="s">
        <v>120</v>
      </c>
    </row>
    <row r="6" spans="3:34">
      <c r="C6" t="s">
        <v>17</v>
      </c>
      <c r="D6" s="5">
        <f t="shared" si="0"/>
        <v>0</v>
      </c>
      <c r="E6" s="3">
        <f>IF('Quality of Life'!$F41="Yes",1,2)</f>
        <v>2</v>
      </c>
      <c r="F6" s="3">
        <f>IF('Quality of Life'!$F41="No",3,0)</f>
        <v>0</v>
      </c>
      <c r="G6" s="3">
        <f>IF('Quality of Life'!$F43="Yes",1,2)</f>
        <v>2</v>
      </c>
      <c r="H6" s="3">
        <f>IF('Quality of Life'!$F44="Yes",1,2)</f>
        <v>2</v>
      </c>
      <c r="I6" s="3">
        <f>IF('Quality of Life'!$F45="Yes",1,2)</f>
        <v>2</v>
      </c>
      <c r="J6" s="3">
        <f>IF('Quality of Life'!$F46="Yes",1,2)</f>
        <v>2</v>
      </c>
      <c r="K6" s="3">
        <f>IF('Quality of Life'!$F47="Yes",1,2)</f>
        <v>2</v>
      </c>
      <c r="L6" s="13"/>
      <c r="M6" s="13"/>
      <c r="N6" s="3">
        <f t="shared" si="1"/>
        <v>0</v>
      </c>
      <c r="O6" s="3">
        <f t="shared" si="2"/>
        <v>0</v>
      </c>
      <c r="Q6" t="str">
        <f t="shared" si="3"/>
        <v>Not Assessed</v>
      </c>
      <c r="R6" t="str">
        <f t="shared" si="4"/>
        <v>N</v>
      </c>
      <c r="S6">
        <f>IF(R6="Y", 0, Points!H4)</f>
        <v>14</v>
      </c>
      <c r="T6">
        <f>IF(Tabulations!E6=1, MAX(Tabulations!V6:AA6), 0)</f>
        <v>0</v>
      </c>
      <c r="V6">
        <v>0</v>
      </c>
      <c r="W6">
        <f>IF(AND(G6=1, H6=1), Points!C4, 0)</f>
        <v>0</v>
      </c>
      <c r="X6">
        <f>IF(AND(G6=1, H6=1,I6= 1),Points!D4, 0)</f>
        <v>0</v>
      </c>
      <c r="Y6">
        <f>IF(AND(G6=1, H6=1,I6= 1, J6=1), Points!E4, 0)</f>
        <v>0</v>
      </c>
      <c r="Z6">
        <f>IF(AND(G6=1, H6=1,I6= 1, J6=1, K6=1),Points!F4,0)</f>
        <v>0</v>
      </c>
      <c r="AA6">
        <f>IF(AND(G6=1, H6=1,I6= 1, J6=1, K6=1, L6=1),Points!G4,0)</f>
        <v>0</v>
      </c>
      <c r="AD6" t="s">
        <v>117</v>
      </c>
      <c r="AE6" t="s">
        <v>122</v>
      </c>
      <c r="AF6" t="s">
        <v>118</v>
      </c>
      <c r="AG6" t="s">
        <v>119</v>
      </c>
    </row>
    <row r="7" spans="3:34">
      <c r="C7" t="s">
        <v>19</v>
      </c>
      <c r="D7" s="5">
        <f t="shared" si="0"/>
        <v>0</v>
      </c>
      <c r="E7" s="3">
        <f>IF('Quality of Life'!$F55="Yes",1,2)</f>
        <v>2</v>
      </c>
      <c r="F7" s="3">
        <f>IF('Quality of Life'!$F55="No",3,0)</f>
        <v>0</v>
      </c>
      <c r="G7" s="3">
        <f>IF('Quality of Life'!$F57="Yes",1,2)</f>
        <v>2</v>
      </c>
      <c r="H7" s="3">
        <f>IF('Quality of Life'!$F58="Yes",1,2)</f>
        <v>2</v>
      </c>
      <c r="I7" s="3">
        <f>IF('Quality of Life'!$F59="Yes",1,2)</f>
        <v>2</v>
      </c>
      <c r="J7" s="3">
        <f>IF('Quality of Life'!$F60="Yes",1,2)</f>
        <v>2</v>
      </c>
      <c r="K7" s="3">
        <f>'Quality of Life'!E62</f>
        <v>2</v>
      </c>
      <c r="L7" s="13"/>
      <c r="M7" s="13"/>
      <c r="N7" s="3">
        <f t="shared" si="1"/>
        <v>0</v>
      </c>
      <c r="O7" s="3">
        <f t="shared" si="2"/>
        <v>0</v>
      </c>
      <c r="Q7" t="str">
        <f t="shared" si="3"/>
        <v>Not Assessed</v>
      </c>
      <c r="R7" t="str">
        <f t="shared" si="4"/>
        <v>N</v>
      </c>
      <c r="S7">
        <f>IF(R7="Y", 0, Points!H5)</f>
        <v>12</v>
      </c>
      <c r="T7">
        <f>IF(Tabulations!E7=1, MAX(Tabulations!V7:AA7), 0)</f>
        <v>0</v>
      </c>
      <c r="V7">
        <v>0</v>
      </c>
      <c r="W7">
        <f>IF(AND(G7=1, H7=1), Points!C5, 0)</f>
        <v>0</v>
      </c>
      <c r="X7">
        <f>IF(AND(G7=1, H7=1,I7= 1),Points!D5, 0)</f>
        <v>0</v>
      </c>
      <c r="Y7">
        <f>IF(AND(G7=1, H7=1,I7= 1, J7=1), Points!E5, 0)</f>
        <v>0</v>
      </c>
      <c r="Z7">
        <f>IF(AND($G$7=1, $H$7=1,$I$7= 1, $J$7=1, $K$7="A"),Points!F5,0)</f>
        <v>0</v>
      </c>
      <c r="AA7">
        <f>IF(AND($G$7=1, $H$7=1,$I$7= 1, $J$7=1, $K$7="B"),Points!G5,0)</f>
        <v>0</v>
      </c>
      <c r="AD7" t="s">
        <v>117</v>
      </c>
      <c r="AE7" t="s">
        <v>122</v>
      </c>
      <c r="AF7" t="s">
        <v>118</v>
      </c>
      <c r="AG7" t="s">
        <v>119</v>
      </c>
      <c r="AH7" t="s">
        <v>119</v>
      </c>
    </row>
    <row r="8" spans="3:34">
      <c r="C8" t="s">
        <v>20</v>
      </c>
      <c r="D8" s="5">
        <f t="shared" si="0"/>
        <v>0</v>
      </c>
      <c r="E8" s="3">
        <f>IF('Quality of Life'!$F70="Yes",1,2)</f>
        <v>2</v>
      </c>
      <c r="F8" s="3">
        <f>IF('Quality of Life'!$F70="No",3,0)</f>
        <v>0</v>
      </c>
      <c r="G8" s="3">
        <f>IF('Quality of Life'!$F72="Yes",1,2)</f>
        <v>2</v>
      </c>
      <c r="H8" s="3">
        <f>IF('Quality of Life'!$F73="Yes",1,2)</f>
        <v>2</v>
      </c>
      <c r="I8" s="3">
        <f>IF('Quality of Life'!$F74="Yes",1,2)</f>
        <v>2</v>
      </c>
      <c r="J8" s="3">
        <f>IF('Quality of Life'!$F75="Yes",1,2)</f>
        <v>2</v>
      </c>
      <c r="K8" s="3">
        <f>IF('Quality of Life'!$F76="Yes",1,2)</f>
        <v>2</v>
      </c>
      <c r="L8" s="3">
        <f>IF('Quality of Life'!$F77="Yes",1,2)</f>
        <v>2</v>
      </c>
      <c r="M8" s="13"/>
      <c r="N8" s="3">
        <f t="shared" si="1"/>
        <v>0</v>
      </c>
      <c r="O8" s="3">
        <f t="shared" si="2"/>
        <v>0</v>
      </c>
      <c r="Q8" t="str">
        <f t="shared" si="3"/>
        <v>Not Assessed</v>
      </c>
      <c r="R8" t="str">
        <f t="shared" si="4"/>
        <v>N</v>
      </c>
      <c r="S8">
        <f>IF(R8="Y", 0, Points!H6)</f>
        <v>12</v>
      </c>
      <c r="T8">
        <f>IF(Tabulations!E8=1, MAX(Tabulations!V8:AA8), 0)</f>
        <v>0</v>
      </c>
      <c r="V8">
        <v>0</v>
      </c>
      <c r="W8">
        <f>IF(AND(G8=1, H8=1), Points!C6, 0)</f>
        <v>0</v>
      </c>
      <c r="X8">
        <f>IF(AND(G8=1, H8=1,I8= 1),Points!D6, 0)</f>
        <v>0</v>
      </c>
      <c r="Y8">
        <f>IF(AND(G8=1, H8=1,I8= 1, J8=1), Points!E6, 0)</f>
        <v>0</v>
      </c>
      <c r="Z8">
        <f>IF(AND(G8=1, K8=1),Points!F6,0)</f>
        <v>0</v>
      </c>
      <c r="AA8">
        <f>IF(AND(G8=1, K8=1, L8=1),Points!G6,0)</f>
        <v>0</v>
      </c>
      <c r="AD8" t="s">
        <v>117</v>
      </c>
      <c r="AE8" t="s">
        <v>122</v>
      </c>
      <c r="AF8" t="s">
        <v>118</v>
      </c>
      <c r="AG8" t="s">
        <v>123</v>
      </c>
      <c r="AH8" t="s">
        <v>124</v>
      </c>
    </row>
    <row r="9" spans="3:34">
      <c r="C9" t="s">
        <v>21</v>
      </c>
      <c r="D9" s="5">
        <f t="shared" si="0"/>
        <v>0</v>
      </c>
      <c r="E9" s="3">
        <f>IF('Quality of Life'!$F85="Yes",1,2)</f>
        <v>2</v>
      </c>
      <c r="F9" s="3">
        <f>IF('Quality of Life'!$F85="No",3,0)</f>
        <v>0</v>
      </c>
      <c r="G9" s="3">
        <f>IF('Quality of Life'!$F87="Yes",1,2)</f>
        <v>2</v>
      </c>
      <c r="H9" s="3">
        <f>IF('Quality of Life'!$F88="Yes",1,0)</f>
        <v>0</v>
      </c>
      <c r="I9" s="3">
        <f>IF('Quality of Life'!$F89="Yes",1,0)</f>
        <v>0</v>
      </c>
      <c r="J9" s="3">
        <f>IF('Quality of Life'!$F90="Yes",1,0)</f>
        <v>0</v>
      </c>
      <c r="K9" s="3">
        <f>IF('Quality of Life'!$F91="Yes",1,0)</f>
        <v>0</v>
      </c>
      <c r="L9" s="3">
        <f>IF('Quality of Life'!$F92="Yes",1,2)</f>
        <v>2</v>
      </c>
      <c r="M9" s="13"/>
      <c r="N9" s="3">
        <f>IF(OR(F9=3,E9=2),0, COUNTIF(G9:M9, 1)+COUNTIF(G9:M9, "A")+ COUNTIF(G9:M9, "B")+ COUNTIF(G9:M9, "C")+ COUNTIF(G9:M9, "D")+ COUNTIF(G9:M9, "E")+COUNTIF(G9:M9, "F"))</f>
        <v>0</v>
      </c>
      <c r="O9" s="3">
        <f t="shared" si="2"/>
        <v>0</v>
      </c>
      <c r="Q9" t="str">
        <f t="shared" si="3"/>
        <v>Not Assessed</v>
      </c>
      <c r="R9" t="str">
        <f t="shared" si="4"/>
        <v>N</v>
      </c>
      <c r="S9">
        <f>IF(R9="Y", 0, Points!H7)</f>
        <v>8</v>
      </c>
      <c r="T9">
        <f>IF(Tabulations!E9=1, MAX(Tabulations!V9:AA9), 0)</f>
        <v>0</v>
      </c>
      <c r="V9">
        <v>0</v>
      </c>
      <c r="W9">
        <f>IF(AND(G9=1, SUM(H9:K9)&gt;=1), Points!C7, 0)</f>
        <v>0</v>
      </c>
      <c r="X9">
        <f>IF(AND(G9=1, SUM(H9:K9)&gt;=2), Points!D7, 0)</f>
        <v>0</v>
      </c>
      <c r="Y9">
        <f>IF(AND(G9=1, SUM(H9:K9)&gt;=3,L9=1), Points!E7, 0)</f>
        <v>0</v>
      </c>
      <c r="Z9">
        <f>IF(AND(G9=1, H9=1,I9= 1, J9=1, K9=1,L9=1),Points!F7,0)</f>
        <v>0</v>
      </c>
      <c r="AA9">
        <f>IF(AND(G9=1, K9=1, L9=1),Points!G7,0)</f>
        <v>0</v>
      </c>
      <c r="AD9" t="s">
        <v>125</v>
      </c>
      <c r="AE9" t="s">
        <v>125</v>
      </c>
      <c r="AF9" t="s">
        <v>126</v>
      </c>
      <c r="AG9" t="s">
        <v>120</v>
      </c>
    </row>
    <row r="10" spans="3:34">
      <c r="C10" t="s">
        <v>127</v>
      </c>
      <c r="D10" s="5">
        <f t="shared" si="0"/>
        <v>0</v>
      </c>
      <c r="E10" s="3">
        <f>IF('Quality of Life'!$F102="Yes",1,2)</f>
        <v>2</v>
      </c>
      <c r="F10" s="3">
        <f>IF('Quality of Life'!$F102="No",3,0)</f>
        <v>0</v>
      </c>
      <c r="G10" s="3">
        <f>IF('Quality of Life'!$F104="Yes",1,2)</f>
        <v>2</v>
      </c>
      <c r="H10" s="3">
        <f>IF('Quality of Life'!$F105="Yes",1,2)</f>
        <v>2</v>
      </c>
      <c r="I10" s="3">
        <f>IF('Quality of Life'!$F106="Yes",1,2)</f>
        <v>2</v>
      </c>
      <c r="J10" s="3">
        <f>IF('Quality of Life'!$F107="Yes",1,2)</f>
        <v>2</v>
      </c>
      <c r="K10" s="3">
        <f>IF('Quality of Life'!$F108="Yes",1,2)</f>
        <v>2</v>
      </c>
      <c r="L10" s="3">
        <f>IF('Quality of Life'!$F109="Yes",1,2)</f>
        <v>2</v>
      </c>
      <c r="M10" s="13"/>
      <c r="N10" s="3">
        <f t="shared" si="1"/>
        <v>0</v>
      </c>
      <c r="O10" s="3">
        <f t="shared" si="2"/>
        <v>0</v>
      </c>
      <c r="Q10" t="str">
        <f t="shared" si="3"/>
        <v>Not Assessed</v>
      </c>
      <c r="R10" t="str">
        <f t="shared" si="4"/>
        <v>N</v>
      </c>
      <c r="S10">
        <f>IF(R10="Y", 0, Points!H8)</f>
        <v>14</v>
      </c>
      <c r="T10">
        <f>IF(Tabulations!E10=1, MAX(Tabulations!V10:AA10), 0)</f>
        <v>0</v>
      </c>
      <c r="V10">
        <v>0</v>
      </c>
      <c r="W10">
        <f>IF(AND(G10=1, H10=1), Points!C8, 0)</f>
        <v>0</v>
      </c>
      <c r="X10">
        <f>IF(AND(G10=1, H10=1,I10= 1),Points!D8, 0)</f>
        <v>0</v>
      </c>
      <c r="Y10">
        <f>IF(AND(G10=1, H10=1,I10= 1, J10=1), Points!E8, 0)</f>
        <v>0</v>
      </c>
      <c r="Z10">
        <f>IF(AND(G10=1, H10=1,I10= 1, J10=1, K10=1),Points!F8,0)</f>
        <v>0</v>
      </c>
      <c r="AA10">
        <f>IF(AND(G10=1, H10=1,I10= 1, J10=1, K10=1, L10=1),Points!G8,0)</f>
        <v>0</v>
      </c>
      <c r="AD10" t="s">
        <v>117</v>
      </c>
      <c r="AE10" t="s">
        <v>122</v>
      </c>
      <c r="AF10" t="s">
        <v>118</v>
      </c>
      <c r="AG10" t="s">
        <v>119</v>
      </c>
      <c r="AH10" t="s">
        <v>120</v>
      </c>
    </row>
    <row r="11" spans="3:34">
      <c r="C11" t="s">
        <v>25</v>
      </c>
      <c r="D11" s="5">
        <f t="shared" si="0"/>
        <v>0</v>
      </c>
      <c r="E11" s="3">
        <f>IF('Quality of Life'!$F117="Yes",1,2)</f>
        <v>2</v>
      </c>
      <c r="F11" s="3">
        <f>IF('Quality of Life'!$F117="No",3,0)</f>
        <v>0</v>
      </c>
      <c r="G11" s="3">
        <f>IF('Quality of Life'!$F119="Yes",1,2)</f>
        <v>2</v>
      </c>
      <c r="H11" s="3">
        <f>IF('Quality of Life'!$F120="Yes",1,2)</f>
        <v>2</v>
      </c>
      <c r="I11" s="3">
        <f>IF('Quality of Life'!$F121="Yes",1,2)</f>
        <v>2</v>
      </c>
      <c r="J11" s="3">
        <f>IF('Quality of Life'!$F122="Yes",1,2)</f>
        <v>2</v>
      </c>
      <c r="K11" s="13"/>
      <c r="L11" s="13"/>
      <c r="M11" s="13"/>
      <c r="N11" s="3">
        <f t="shared" si="1"/>
        <v>0</v>
      </c>
      <c r="O11" s="3">
        <f t="shared" si="2"/>
        <v>0</v>
      </c>
      <c r="Q11" t="str">
        <f t="shared" si="3"/>
        <v>Not Assessed</v>
      </c>
      <c r="R11" t="str">
        <f t="shared" si="4"/>
        <v>N</v>
      </c>
      <c r="S11">
        <f>IF(R11="Y", 0, Points!H9)</f>
        <v>16</v>
      </c>
      <c r="T11">
        <f>IF(Tabulations!E11=1, MAX(Tabulations!V11:AA11), 0)</f>
        <v>0</v>
      </c>
      <c r="V11">
        <v>0</v>
      </c>
      <c r="W11">
        <v>0</v>
      </c>
      <c r="X11">
        <f>IF(AND(G11=1),Points!D9, 0)</f>
        <v>0</v>
      </c>
      <c r="Y11">
        <f>IF(AND(G11=1, H11=1), Points!E9, 0)</f>
        <v>0</v>
      </c>
      <c r="Z11">
        <f>IF(AND(G11=1, H11=1,I11= 1),Points!F9,0)</f>
        <v>0</v>
      </c>
      <c r="AA11">
        <f>IF(AND(G11=1, H11=1,I11= 1, J11=1),Points!G9,0)</f>
        <v>0</v>
      </c>
      <c r="AE11" t="s">
        <v>105</v>
      </c>
      <c r="AF11" t="s">
        <v>117</v>
      </c>
      <c r="AG11" t="s">
        <v>122</v>
      </c>
      <c r="AH11" t="s">
        <v>118</v>
      </c>
    </row>
    <row r="12" spans="3:34">
      <c r="C12" t="s">
        <v>26</v>
      </c>
      <c r="D12" s="5">
        <f t="shared" si="0"/>
        <v>0</v>
      </c>
      <c r="E12" s="3">
        <f>IF('Quality of Life'!$F130="Yes",1,2)</f>
        <v>2</v>
      </c>
      <c r="F12" s="3">
        <f>IF('Quality of Life'!$F130="No",3,0)</f>
        <v>0</v>
      </c>
      <c r="G12" s="3">
        <f>IF('Quality of Life'!$F132="Yes",1,2)</f>
        <v>2</v>
      </c>
      <c r="H12" s="3">
        <f>IF('Quality of Life'!$F133="Yes",1,2)</f>
        <v>2</v>
      </c>
      <c r="I12" s="3">
        <f>IF('Quality of Life'!$F134="Yes",1,2)</f>
        <v>2</v>
      </c>
      <c r="J12" s="3">
        <f>IF('Quality of Life'!$F135="Yes",1,2)</f>
        <v>2</v>
      </c>
      <c r="K12" s="13"/>
      <c r="L12" s="13"/>
      <c r="M12" s="13"/>
      <c r="N12" s="3">
        <f t="shared" si="1"/>
        <v>0</v>
      </c>
      <c r="O12" s="3">
        <f t="shared" si="2"/>
        <v>0</v>
      </c>
      <c r="Q12" t="str">
        <f t="shared" si="3"/>
        <v>Not Assessed</v>
      </c>
      <c r="R12" t="str">
        <f t="shared" si="4"/>
        <v>N</v>
      </c>
      <c r="S12">
        <f>IF(R12="Y", 0, Points!H10)</f>
        <v>14</v>
      </c>
      <c r="T12">
        <f>IF(Tabulations!E12=1, MAX(Tabulations!V12:AA12), 0)</f>
        <v>0</v>
      </c>
      <c r="V12">
        <v>0</v>
      </c>
      <c r="W12">
        <f>IF(AND(G12=1), Points!C10, 0)</f>
        <v>0</v>
      </c>
      <c r="X12">
        <f>IF(AND(G12=1, H12=1),Points!D10, 0)</f>
        <v>0</v>
      </c>
      <c r="Y12">
        <f>IF(AND(G12=1, H12=1,I12= 1), Points!E10, 0)</f>
        <v>0</v>
      </c>
      <c r="Z12">
        <f>IF(AND(G12=1, H12=1,I12= 1, J12=1),Points!F10,0)</f>
        <v>0</v>
      </c>
      <c r="AA12">
        <f>IF(AND(G12=1, H12=1,I12= 1, J12=1, K12=1, L12=1, M12=1),Points!G11, 0)</f>
        <v>0</v>
      </c>
      <c r="AD12" t="s">
        <v>105</v>
      </c>
      <c r="AE12" t="s">
        <v>117</v>
      </c>
      <c r="AF12" t="s">
        <v>122</v>
      </c>
      <c r="AG12" t="s">
        <v>118</v>
      </c>
    </row>
    <row r="13" spans="3:34">
      <c r="C13" t="s">
        <v>28</v>
      </c>
      <c r="D13" s="5">
        <f t="shared" si="0"/>
        <v>0</v>
      </c>
      <c r="E13" s="3">
        <f>IF('Quality of Life'!$F145="Yes",1,2)</f>
        <v>2</v>
      </c>
      <c r="F13" s="3">
        <f>IF('Quality of Life'!$F145="No",3,0)</f>
        <v>0</v>
      </c>
      <c r="G13" s="3">
        <f>IF('Quality of Life'!$F147="Yes",1,2)</f>
        <v>2</v>
      </c>
      <c r="H13" s="3">
        <f>IF('Quality of Life'!$F148="Yes",1,2)</f>
        <v>2</v>
      </c>
      <c r="I13" s="3">
        <f>IF('Quality of Life'!$F149="Yes",1,2)</f>
        <v>2</v>
      </c>
      <c r="J13" s="3">
        <f>IF('Quality of Life'!$F150="Yes",1,2)</f>
        <v>2</v>
      </c>
      <c r="K13" s="3">
        <f>IF('Quality of Life'!$F151="Yes",1,2)</f>
        <v>2</v>
      </c>
      <c r="L13" s="3">
        <f>IF('Quality of Life'!$F152="Yes",1,2)</f>
        <v>2</v>
      </c>
      <c r="M13" s="3">
        <f>IF('Quality of Life'!$F153="Yes",1,2)</f>
        <v>2</v>
      </c>
      <c r="N13" s="3">
        <f t="shared" si="1"/>
        <v>0</v>
      </c>
      <c r="O13" s="3">
        <f t="shared" si="2"/>
        <v>0</v>
      </c>
      <c r="Q13" t="str">
        <f t="shared" si="3"/>
        <v>Not Assessed</v>
      </c>
      <c r="R13" t="str">
        <f t="shared" si="4"/>
        <v>N</v>
      </c>
      <c r="S13">
        <f>IF(R13="Y", 0, Points!H11)</f>
        <v>18</v>
      </c>
      <c r="T13">
        <f>IF(Tabulations!E13=1, MAX(Tabulations!V13:AA13), 0)</f>
        <v>0</v>
      </c>
      <c r="V13">
        <v>0</v>
      </c>
      <c r="W13">
        <f>IF(AND(G13=1, H13=1,I13=1), Points!C11, 0)</f>
        <v>0</v>
      </c>
      <c r="X13">
        <f>IF(AND(G13=1, H13=1,I13= 1, J13=1),Points!D11, 0)</f>
        <v>0</v>
      </c>
      <c r="Y13">
        <f>IF(AND(G13=1, H13=1,I13= 1, J13=1, K13=1), Points!E11, 0)</f>
        <v>0</v>
      </c>
      <c r="Z13">
        <f>IF(AND(G13=1, H13=1,I13= 1, J13=1, K13=1,L13=1),Points!F11,0)</f>
        <v>0</v>
      </c>
      <c r="AA13">
        <f>IF(AND(G13=1, H13=1,I13= 1, J13=1, K13=1, L13=1, M13=1),Points!G11, 0)</f>
        <v>0</v>
      </c>
      <c r="AD13" t="s">
        <v>117</v>
      </c>
      <c r="AE13" t="s">
        <v>118</v>
      </c>
      <c r="AF13" t="s">
        <v>119</v>
      </c>
      <c r="AG13" t="s">
        <v>120</v>
      </c>
      <c r="AH13" t="s">
        <v>121</v>
      </c>
    </row>
    <row r="14" spans="3:34">
      <c r="C14" t="s">
        <v>29</v>
      </c>
      <c r="D14" s="5">
        <f t="shared" si="0"/>
        <v>0</v>
      </c>
      <c r="E14" s="3">
        <f>IF('Quality of Life'!$F161="Yes",1,2)</f>
        <v>2</v>
      </c>
      <c r="F14" s="3">
        <f>IF('Quality of Life'!$F161="No",3,0)</f>
        <v>0</v>
      </c>
      <c r="G14" s="3">
        <f>IF('Quality of Life'!$F163="Yes",1,2)</f>
        <v>2</v>
      </c>
      <c r="H14" s="3">
        <f>IF('Quality of Life'!$F164="Yes",1,2)</f>
        <v>2</v>
      </c>
      <c r="I14" s="3">
        <f>IF('Quality of Life'!$F165="Yes",1,2)</f>
        <v>2</v>
      </c>
      <c r="J14" s="3">
        <f>IF('Quality of Life'!$F166="Yes",1,2)</f>
        <v>2</v>
      </c>
      <c r="K14" s="3">
        <f>IF('Quality of Life'!$F167="Yes",1,2)</f>
        <v>2</v>
      </c>
      <c r="L14" s="3">
        <f>IF('Quality of Life'!$F168="Yes",1,2)</f>
        <v>2</v>
      </c>
      <c r="M14" s="13"/>
      <c r="N14" s="3">
        <f t="shared" si="1"/>
        <v>0</v>
      </c>
      <c r="O14" s="3">
        <f t="shared" si="2"/>
        <v>0</v>
      </c>
      <c r="Q14" t="str">
        <f t="shared" si="3"/>
        <v>Not Assessed</v>
      </c>
      <c r="R14" t="str">
        <f t="shared" si="4"/>
        <v>N</v>
      </c>
      <c r="S14">
        <f>IF(R14="Y", 0, Points!H12)</f>
        <v>18</v>
      </c>
      <c r="T14">
        <f>IF(Tabulations!E14=1, MAX(Tabulations!V14:AA14), 0)</f>
        <v>0</v>
      </c>
      <c r="V14">
        <v>0</v>
      </c>
      <c r="W14">
        <f>IF(AND(G14=1, H14=1), Points!C12, 0)</f>
        <v>0</v>
      </c>
      <c r="X14">
        <f>IF(AND(G14=1, H14=1),Points!D12, 0)</f>
        <v>0</v>
      </c>
      <c r="Y14">
        <f>IF(AND(G14=1, H14=1,I14= 1, J14=1), Points!E12, 0)</f>
        <v>0</v>
      </c>
      <c r="Z14">
        <f>IF(AND(G14=1, H14=1,I14= 1, J14=1, K14=1),Points!F12,0)</f>
        <v>0</v>
      </c>
      <c r="AA14">
        <f>IF(AND(G14=1, H14=1,I14= 1, J14=1, K14=1, L14=1),Points!G12, 0)</f>
        <v>0</v>
      </c>
      <c r="AE14" t="s">
        <v>117</v>
      </c>
      <c r="AF14" t="s">
        <v>118</v>
      </c>
      <c r="AG14" t="s">
        <v>119</v>
      </c>
      <c r="AH14" t="s">
        <v>120</v>
      </c>
    </row>
    <row r="15" spans="3:34">
      <c r="C15" t="s">
        <v>30</v>
      </c>
      <c r="D15" s="5">
        <f t="shared" si="0"/>
        <v>0</v>
      </c>
      <c r="E15" s="3">
        <f>IF('Quality of Life'!$F176="Yes",1,2)</f>
        <v>2</v>
      </c>
      <c r="F15" s="3">
        <f>IF('Quality of Life'!$F176="No",3,0)</f>
        <v>0</v>
      </c>
      <c r="G15" s="3">
        <f>IF('Quality of Life'!$F178="Yes",1,2)</f>
        <v>2</v>
      </c>
      <c r="H15" s="3">
        <f>IF('Quality of Life'!$F179="Yes",1,2)</f>
        <v>2</v>
      </c>
      <c r="I15" s="3">
        <f>IF('Quality of Life'!$F180="Yes",1,2)</f>
        <v>2</v>
      </c>
      <c r="J15" s="3">
        <f>IF('Quality of Life'!$F181="Yes",1,2)</f>
        <v>2</v>
      </c>
      <c r="K15" s="3">
        <f>IF('Quality of Life'!$F182="Yes",1,2)</f>
        <v>2</v>
      </c>
      <c r="L15" s="3">
        <f>IF('Quality of Life'!$F183="Yes",1,2)</f>
        <v>2</v>
      </c>
      <c r="M15" s="13"/>
      <c r="N15" s="3">
        <f t="shared" si="1"/>
        <v>0</v>
      </c>
      <c r="O15" s="3">
        <f t="shared" si="2"/>
        <v>0</v>
      </c>
      <c r="Q15" t="str">
        <f t="shared" si="3"/>
        <v>Not Assessed</v>
      </c>
      <c r="R15" t="str">
        <f t="shared" si="4"/>
        <v>N</v>
      </c>
      <c r="S15">
        <f>IF(R15="Y", 0, Points!H13)</f>
        <v>14</v>
      </c>
      <c r="T15">
        <f>IF(Tabulations!E15=1, MAX(Tabulations!V15:AA15), 0)</f>
        <v>0</v>
      </c>
      <c r="V15">
        <v>0</v>
      </c>
      <c r="W15">
        <f>IF(AND(G15=1, H15=1), Points!C13, 0)</f>
        <v>0</v>
      </c>
      <c r="X15">
        <f>IF(AND(G15=1, H15=1,I15= 1),Points!D13, 0)</f>
        <v>0</v>
      </c>
      <c r="Y15">
        <f>IF(AND(G15=1, H15=1,I15= 1, J15=1), Points!E13, 0)</f>
        <v>0</v>
      </c>
      <c r="Z15">
        <f>IF(AND(G15=1, H15=1,I15= 1, J15=1, K15=1),Points!F13,0)</f>
        <v>0</v>
      </c>
      <c r="AA15">
        <f>IF(AND(G15=1, H15=1,I15= 1, J15=1, K15=1, L15=1),Points!G13,0)</f>
        <v>0</v>
      </c>
      <c r="AD15" t="s">
        <v>117</v>
      </c>
      <c r="AE15" t="s">
        <v>122</v>
      </c>
      <c r="AF15" t="s">
        <v>118</v>
      </c>
      <c r="AG15" t="s">
        <v>119</v>
      </c>
      <c r="AH15" t="s">
        <v>120</v>
      </c>
    </row>
    <row r="16" spans="3:34">
      <c r="C16" t="s">
        <v>31</v>
      </c>
      <c r="D16" s="5">
        <f t="shared" si="0"/>
        <v>0</v>
      </c>
      <c r="E16" s="3">
        <f>IF('Quality of Life'!$F191="Yes",1,2)</f>
        <v>2</v>
      </c>
      <c r="F16" s="3">
        <f>IF('Quality of Life'!$F191="No",3,0)</f>
        <v>0</v>
      </c>
      <c r="G16" s="3">
        <f>IF('Quality of Life'!$F193="Yes",1,2)</f>
        <v>2</v>
      </c>
      <c r="H16" s="3">
        <f>IF('Quality of Life'!$F194="Yes",1,2)</f>
        <v>2</v>
      </c>
      <c r="I16" s="3">
        <f>IF('Quality of Life'!$F195="Yes",1,2)</f>
        <v>2</v>
      </c>
      <c r="J16" s="3">
        <f>'Quality of Life'!E196</f>
        <v>2</v>
      </c>
      <c r="K16" s="13"/>
      <c r="L16" s="13"/>
      <c r="M16" s="13"/>
      <c r="N16" s="3">
        <f t="shared" si="1"/>
        <v>0</v>
      </c>
      <c r="O16" s="3">
        <f t="shared" si="2"/>
        <v>0</v>
      </c>
      <c r="Q16" t="str">
        <f t="shared" si="3"/>
        <v>Not Assessed</v>
      </c>
      <c r="R16" t="str">
        <f t="shared" si="4"/>
        <v>N</v>
      </c>
      <c r="S16">
        <f>IF(R16="Y", 0, Points!H14)</f>
        <v>14</v>
      </c>
      <c r="T16">
        <f>IF(Tabulations!E16=1, MAX(Tabulations!V16:AA16), 0)</f>
        <v>0</v>
      </c>
      <c r="V16">
        <v>0</v>
      </c>
      <c r="W16">
        <f>IF(AND(G16=1, H16=1), Points!C14, 0)</f>
        <v>0</v>
      </c>
      <c r="X16">
        <f>IF(AND(G16=1, H16=1, I16=1), Points!D14, 0)</f>
        <v>0</v>
      </c>
      <c r="Y16">
        <f>IF(AND($G$16=1, $H$16=1, $I$16=1,$J$16="A"), Points!E14, 0)</f>
        <v>0</v>
      </c>
      <c r="Z16">
        <f>IF(AND($G$16=1, $H$16=1, $I$16=1,$J$16="B"), Points!F14, 0)</f>
        <v>0</v>
      </c>
      <c r="AA16">
        <f>IF(AND($G$16=1, $H$16=1, $I$16=1,$J$16="C"), Points!G14, 0)</f>
        <v>0</v>
      </c>
      <c r="AD16" t="s">
        <v>117</v>
      </c>
      <c r="AE16" t="s">
        <v>122</v>
      </c>
      <c r="AF16" t="s">
        <v>118</v>
      </c>
      <c r="AG16" t="s">
        <v>118</v>
      </c>
      <c r="AH16" t="s">
        <v>118</v>
      </c>
    </row>
    <row r="18" spans="3:34" ht="81.75">
      <c r="C18" s="16"/>
      <c r="D18" s="17"/>
      <c r="E18" s="18" t="s">
        <v>103</v>
      </c>
      <c r="F18" s="18" t="s">
        <v>104</v>
      </c>
      <c r="G18" s="18" t="s">
        <v>105</v>
      </c>
      <c r="H18" s="18" t="s">
        <v>106</v>
      </c>
      <c r="I18" s="18" t="s">
        <v>107</v>
      </c>
      <c r="J18" s="18" t="s">
        <v>108</v>
      </c>
      <c r="K18" s="18" t="s">
        <v>109</v>
      </c>
      <c r="L18" s="18" t="s">
        <v>110</v>
      </c>
      <c r="M18" s="18" t="s">
        <v>111</v>
      </c>
      <c r="N18" s="18" t="s">
        <v>6</v>
      </c>
      <c r="O18" s="18" t="s">
        <v>7</v>
      </c>
      <c r="P18" s="18"/>
      <c r="Q18" s="19" t="s">
        <v>112</v>
      </c>
      <c r="R18" s="19" t="s">
        <v>113</v>
      </c>
      <c r="S18" s="19" t="s">
        <v>114</v>
      </c>
      <c r="T18" s="19" t="s">
        <v>115</v>
      </c>
      <c r="U18" s="19"/>
      <c r="V18" s="19" t="s">
        <v>116</v>
      </c>
      <c r="W18" s="19" t="s">
        <v>8</v>
      </c>
      <c r="X18" s="19" t="s">
        <v>9</v>
      </c>
      <c r="Y18" s="19" t="s">
        <v>10</v>
      </c>
      <c r="Z18" s="19" t="s">
        <v>11</v>
      </c>
      <c r="AA18" s="19" t="s">
        <v>12</v>
      </c>
      <c r="AB18" s="19"/>
      <c r="AC18" s="19"/>
      <c r="AD18" s="18" t="s">
        <v>8</v>
      </c>
      <c r="AE18" s="18" t="s">
        <v>9</v>
      </c>
      <c r="AF18" s="18" t="s">
        <v>10</v>
      </c>
      <c r="AG18" s="18" t="s">
        <v>11</v>
      </c>
      <c r="AH18" s="18" t="s">
        <v>12</v>
      </c>
    </row>
    <row r="19" spans="3:34">
      <c r="C19" t="s">
        <v>33</v>
      </c>
      <c r="D19" s="5">
        <f t="shared" ref="D19:D29" si="5">SUM(N19:O19)</f>
        <v>0</v>
      </c>
      <c r="E19" s="3">
        <f>IF(Leadership!$F$10="Yes",1,2)</f>
        <v>2</v>
      </c>
      <c r="F19" s="3">
        <f>IF(Leadership!$F$10="No",3,0)</f>
        <v>0</v>
      </c>
      <c r="G19" s="3">
        <f>IF(Leadership!$F12="Yes",1,2)</f>
        <v>2</v>
      </c>
      <c r="H19" s="3">
        <f>IF(Leadership!$F13="Yes",1,2)</f>
        <v>2</v>
      </c>
      <c r="I19" s="3">
        <f>IF(Leadership!$F14="Yes",1,2)</f>
        <v>2</v>
      </c>
      <c r="J19" s="3">
        <f>IF(Leadership!$F15="Yes",1,2)</f>
        <v>2</v>
      </c>
      <c r="K19" s="13"/>
      <c r="L19" s="13"/>
      <c r="M19" s="13"/>
      <c r="N19" s="3">
        <f t="shared" ref="N19" si="6">IF(OR(F19=3,E19=2),0, COUNTIF(G19:M19, 1)+COUNTIF(G19:M19, "A")+ COUNTIF(G19:M19, "B")+ COUNTIF(G19:M19, "C")+ COUNTIF(G19:M19, "D")+ COUNTIF(G19:M19, "E"))</f>
        <v>0</v>
      </c>
      <c r="O19" s="3">
        <f t="shared" ref="O19" si="7">IF(OR(F19=3,E19=2),0,COUNTIF(G19:M19, 2)+COUNTIF(G19:M19, 0))</f>
        <v>0</v>
      </c>
      <c r="Q19" t="str">
        <f t="shared" ref="Q19:Q29" si="8">IF(R19="Y","Not Applicable",IF(E19=1,"Assessed","Not Assessed"))</f>
        <v>Not Assessed</v>
      </c>
      <c r="R19" t="str">
        <f t="shared" ref="R19:R29" si="9">IF(F19=3, "Y", "N")</f>
        <v>N</v>
      </c>
      <c r="S19">
        <f>IF(R19="Y", 0, Points!H15)</f>
        <v>18</v>
      </c>
      <c r="T19">
        <f>IF(Tabulations!E19=1, MAX(Tabulations!V19:AA19), 0)</f>
        <v>0</v>
      </c>
      <c r="W19">
        <f>IF(AND(G19=1), Points!C15, 0)</f>
        <v>0</v>
      </c>
      <c r="X19">
        <f>IF(AND(G19=1, H19=1), Points!D15, 0)</f>
        <v>0</v>
      </c>
      <c r="Y19">
        <f>IF(AND(G19=1, H19=1, I19=1), Points!E15, 0)</f>
        <v>0</v>
      </c>
      <c r="Z19">
        <f>IF(AND(G19=1, H19=1, I19=1,J19=1), Points!F15, 0)</f>
        <v>0</v>
      </c>
      <c r="AD19" t="s">
        <v>105</v>
      </c>
      <c r="AE19" t="s">
        <v>128</v>
      </c>
      <c r="AF19" t="s">
        <v>129</v>
      </c>
      <c r="AG19" t="s">
        <v>130</v>
      </c>
    </row>
    <row r="20" spans="3:34">
      <c r="C20" t="s">
        <v>34</v>
      </c>
      <c r="D20" s="5">
        <f t="shared" si="5"/>
        <v>0</v>
      </c>
      <c r="E20" s="3">
        <f>IF(Leadership!$F$23="Yes",1,2)</f>
        <v>2</v>
      </c>
      <c r="F20" s="3">
        <f>IF(Leadership!$F$23="No",3,0)</f>
        <v>0</v>
      </c>
      <c r="G20" s="3">
        <f>IF(Leadership!$F25="Yes",1,2)</f>
        <v>2</v>
      </c>
      <c r="H20" s="3">
        <f>IF(Leadership!$F26="Yes",1,2)</f>
        <v>2</v>
      </c>
      <c r="I20" s="3">
        <f>IF(Leadership!$F27="Yes",1,2)</f>
        <v>2</v>
      </c>
      <c r="J20" s="3">
        <f>IF(Leadership!$F28="Yes",1,2)</f>
        <v>2</v>
      </c>
      <c r="K20" s="13"/>
      <c r="L20" s="13"/>
      <c r="M20" s="13"/>
      <c r="N20" s="3">
        <f t="shared" ref="N20:N29" si="10">IF(OR(F20=3,E20=2),0, COUNTIF(G20:M20, 1)+COUNTIF(G20:M20, "A")+ COUNTIF(G20:M20, "B")+ COUNTIF(G20:M20, "C")+ COUNTIF(G20:M20, "D")+ COUNTIF(G20:M20, "E"))</f>
        <v>0</v>
      </c>
      <c r="O20" s="3">
        <f t="shared" ref="O20:O29" si="11">IF(OR(F20=3,E20=2),0,COUNTIF(G20:M20, 2)+COUNTIF(G20:M20, 0))</f>
        <v>0</v>
      </c>
      <c r="Q20" t="str">
        <f t="shared" si="8"/>
        <v>Not Assessed</v>
      </c>
      <c r="R20" t="str">
        <f t="shared" si="9"/>
        <v>N</v>
      </c>
      <c r="S20">
        <f>IF(R20="Y", 0, Points!H16)</f>
        <v>18</v>
      </c>
      <c r="T20">
        <f>IF(Tabulations!E20=1, MAX(Tabulations!V20:AA20), 0)</f>
        <v>0</v>
      </c>
      <c r="W20">
        <f>IF(AND(G20=1), Points!C16, 0)</f>
        <v>0</v>
      </c>
      <c r="X20">
        <f>IF(AND(G20=1, H20=1), Points!D16, 0)</f>
        <v>0</v>
      </c>
      <c r="Y20">
        <f>IF(AND(G20=1, H20=1, I20=1), Points!E16, 0)</f>
        <v>0</v>
      </c>
      <c r="Z20">
        <f>IF(AND(G20=1, H20=1, I20=1,J20=1), Points!F16, 0)</f>
        <v>0</v>
      </c>
      <c r="AD20" t="s">
        <v>105</v>
      </c>
      <c r="AE20" t="s">
        <v>128</v>
      </c>
      <c r="AF20" t="s">
        <v>129</v>
      </c>
      <c r="AG20" t="s">
        <v>130</v>
      </c>
    </row>
    <row r="21" spans="3:34">
      <c r="C21" t="s">
        <v>35</v>
      </c>
      <c r="D21" s="5">
        <f t="shared" si="5"/>
        <v>0</v>
      </c>
      <c r="E21" s="3">
        <f>IF(Leadership!$F$36="Yes",1,2)</f>
        <v>2</v>
      </c>
      <c r="F21" s="3">
        <f>IF(Leadership!$F$36="No",3,0)</f>
        <v>0</v>
      </c>
      <c r="G21" s="3">
        <f>IF(Leadership!$F$38="Yes",1,2)</f>
        <v>2</v>
      </c>
      <c r="H21" s="3">
        <f>IF(Leadership!$F$39="Yes",1,2)</f>
        <v>2</v>
      </c>
      <c r="I21" s="3">
        <f>IF(Leadership!$F$40="Yes",1,2)</f>
        <v>2</v>
      </c>
      <c r="J21" s="3">
        <f>IF(Leadership!$F$41="Yes",1,2)</f>
        <v>2</v>
      </c>
      <c r="K21" s="3">
        <f>IF(Leadership!$F$42="Yes",1,2)</f>
        <v>2</v>
      </c>
      <c r="L21" s="3">
        <f>IF(Leadership!$F$43="Yes",1,2)</f>
        <v>2</v>
      </c>
      <c r="M21" s="13"/>
      <c r="N21" s="3">
        <f t="shared" si="10"/>
        <v>0</v>
      </c>
      <c r="O21" s="3">
        <f t="shared" si="11"/>
        <v>0</v>
      </c>
      <c r="Q21" t="str">
        <f t="shared" si="8"/>
        <v>Not Assessed</v>
      </c>
      <c r="R21" t="str">
        <f t="shared" si="9"/>
        <v>N</v>
      </c>
      <c r="S21">
        <f>IF(R21="Y", 0, Points!H17)</f>
        <v>18</v>
      </c>
      <c r="T21">
        <f>IF(Tabulations!E21=1, MAX(Tabulations!V21:AA21), 0)</f>
        <v>0</v>
      </c>
      <c r="W21">
        <f>IF(AND(G21=1, H21=1), Points!C17, 0)</f>
        <v>0</v>
      </c>
      <c r="X21">
        <f>IF(AND(G21=1, H21=1,I21= 1),Points!D17, 0)</f>
        <v>0</v>
      </c>
      <c r="Y21">
        <f>IF(AND(G21=1, H21=1,I21= 1, J21=1), Points!E17, 0)</f>
        <v>0</v>
      </c>
      <c r="Z21">
        <f>IF(AND(G21=1, H21=1,I21= 1, J21=1, K21=1),Points!F17,0)</f>
        <v>0</v>
      </c>
      <c r="AA21">
        <f>IF(AND(G21=1, H21=1,I21= 1, J21=1, K21=1, L21=1),Points!G17,0)</f>
        <v>0</v>
      </c>
      <c r="AD21" t="s">
        <v>117</v>
      </c>
      <c r="AE21" t="s">
        <v>122</v>
      </c>
      <c r="AF21" t="s">
        <v>118</v>
      </c>
      <c r="AG21" t="s">
        <v>119</v>
      </c>
      <c r="AH21" t="s">
        <v>120</v>
      </c>
    </row>
    <row r="22" spans="3:34">
      <c r="C22" t="s">
        <v>36</v>
      </c>
      <c r="D22" s="5">
        <f t="shared" si="5"/>
        <v>0</v>
      </c>
      <c r="E22" s="3">
        <f>IF(Leadership!$F$51="Yes",1,2)</f>
        <v>2</v>
      </c>
      <c r="F22" s="3">
        <f>IF(Leadership!$F$51="No",3,0)</f>
        <v>0</v>
      </c>
      <c r="G22" s="3">
        <f>IF(Leadership!$F$53="Yes",1,2)</f>
        <v>2</v>
      </c>
      <c r="H22" s="3">
        <f>IF(Leadership!$F$54="Yes",1,2)</f>
        <v>2</v>
      </c>
      <c r="I22" s="3">
        <f>IF(Leadership!$F$55="Yes",1,2)</f>
        <v>2</v>
      </c>
      <c r="J22" s="3">
        <f>Leadership!$E$57</f>
        <v>2</v>
      </c>
      <c r="K22" s="3">
        <f>IF(Leadership!$F$58="Yes",1,2)</f>
        <v>2</v>
      </c>
      <c r="L22" s="13"/>
      <c r="M22" s="13"/>
      <c r="N22" s="3">
        <f t="shared" si="10"/>
        <v>0</v>
      </c>
      <c r="O22" s="3">
        <f t="shared" si="11"/>
        <v>0</v>
      </c>
      <c r="Q22" t="str">
        <f t="shared" si="8"/>
        <v>Not Assessed</v>
      </c>
      <c r="R22" t="str">
        <f t="shared" si="9"/>
        <v>N</v>
      </c>
      <c r="S22">
        <f>IF(R22="Y", 0, Points!H18)</f>
        <v>18</v>
      </c>
      <c r="T22">
        <f>IF(Tabulations!E22=1, MAX(Tabulations!V22:AA22), 0)</f>
        <v>0</v>
      </c>
      <c r="W22">
        <f>IF(AND(G22=1, H22=1), Points!C18, 0)</f>
        <v>0</v>
      </c>
      <c r="X22">
        <f>IF(AND(G22=1, H22=1,I22= 1),Points!D18, 0)</f>
        <v>0</v>
      </c>
      <c r="Y22">
        <f>IF(AND(G22=1, H22=1, J22="A"), Points!E18, 0)</f>
        <v>0</v>
      </c>
      <c r="Z22">
        <f>IF(AND(G22=1, H22=1,J22="B"),Points!F18,0)</f>
        <v>0</v>
      </c>
      <c r="AA22">
        <f>IF(AND(G22=1, H22=1,K22=1),Points!G18,0)</f>
        <v>0</v>
      </c>
      <c r="AD22" t="s">
        <v>117</v>
      </c>
      <c r="AE22" t="s">
        <v>122</v>
      </c>
      <c r="AF22" t="s">
        <v>131</v>
      </c>
      <c r="AG22" t="s">
        <v>131</v>
      </c>
      <c r="AH22" t="s">
        <v>132</v>
      </c>
    </row>
    <row r="23" spans="3:34">
      <c r="C23" t="s">
        <v>38</v>
      </c>
      <c r="D23" s="5">
        <f t="shared" si="5"/>
        <v>0</v>
      </c>
      <c r="E23" s="3">
        <f>IF(Leadership!$F$68="Yes",1,2)</f>
        <v>2</v>
      </c>
      <c r="F23" s="3">
        <f>IF(Leadership!$F$68="No",3,0)</f>
        <v>0</v>
      </c>
      <c r="G23" s="3">
        <f>IF(Leadership!$F$70="Yes",1,2)</f>
        <v>2</v>
      </c>
      <c r="H23" s="3">
        <f>IF(Leadership!$F$71="Yes",1,2)</f>
        <v>2</v>
      </c>
      <c r="I23" s="3">
        <f>IF(Leadership!$F$72="Yes",1,2)</f>
        <v>2</v>
      </c>
      <c r="J23" s="3">
        <f>IF(Leadership!$F$73="Yes",1,2)</f>
        <v>2</v>
      </c>
      <c r="K23" s="3">
        <f>IF(Leadership!$F$74="Yes",1,2)</f>
        <v>2</v>
      </c>
      <c r="L23" s="13"/>
      <c r="M23" s="13"/>
      <c r="N23" s="3">
        <f t="shared" si="10"/>
        <v>0</v>
      </c>
      <c r="O23" s="3">
        <f t="shared" si="11"/>
        <v>0</v>
      </c>
      <c r="Q23" t="str">
        <f t="shared" si="8"/>
        <v>Not Assessed</v>
      </c>
      <c r="R23" t="str">
        <f t="shared" si="9"/>
        <v>N</v>
      </c>
      <c r="S23">
        <f>IF(R23="Y", 0, Points!H19)</f>
        <v>18</v>
      </c>
      <c r="T23">
        <f>IF(Tabulations!E23=1, MAX(Tabulations!V23:AA23), 0)</f>
        <v>0</v>
      </c>
      <c r="W23">
        <f>IF(AND(G23=1, H23=1), Points!C19, 0)</f>
        <v>0</v>
      </c>
      <c r="X23">
        <f>IF(AND(G23=1, H23=1,I23= 1),Points!D19, 0)</f>
        <v>0</v>
      </c>
      <c r="Y23">
        <f>IF(AND(G23=1, H23=1,I23= 1, J23=1), Points!E19, 0)</f>
        <v>0</v>
      </c>
      <c r="Z23">
        <f>IF(AND(G23=1, H23=1,I23= 1, J23=1, K23=1),Points!F19,0)</f>
        <v>0</v>
      </c>
      <c r="AD23" t="s">
        <v>117</v>
      </c>
      <c r="AE23" t="s">
        <v>122</v>
      </c>
      <c r="AF23" t="s">
        <v>118</v>
      </c>
      <c r="AG23" t="s">
        <v>119</v>
      </c>
    </row>
    <row r="24" spans="3:34">
      <c r="C24" t="s">
        <v>39</v>
      </c>
      <c r="D24" s="5">
        <f t="shared" si="5"/>
        <v>0</v>
      </c>
      <c r="E24" s="3">
        <f>IF(Leadership!$F$82="Yes",1,2)</f>
        <v>2</v>
      </c>
      <c r="F24" s="3">
        <f>IF(Leadership!$F$82="No",3,0)</f>
        <v>0</v>
      </c>
      <c r="G24" s="3">
        <f>IF(Leadership!$F$84="Yes",1,2)</f>
        <v>2</v>
      </c>
      <c r="H24" s="3">
        <f>IF(Leadership!$F$85="Yes",1,2)</f>
        <v>2</v>
      </c>
      <c r="I24" s="3">
        <f>IF(Leadership!$F$86="Yes",1,2)</f>
        <v>2</v>
      </c>
      <c r="J24" s="3">
        <f>IF(Leadership!$F$87="Yes",1,2)</f>
        <v>2</v>
      </c>
      <c r="K24" s="3">
        <f>IF(Leadership!$F$88="Yes",1,2)</f>
        <v>2</v>
      </c>
      <c r="L24" s="13"/>
      <c r="M24" s="13"/>
      <c r="N24" s="3">
        <f t="shared" si="10"/>
        <v>0</v>
      </c>
      <c r="O24" s="3">
        <f t="shared" si="11"/>
        <v>0</v>
      </c>
      <c r="Q24" t="str">
        <f t="shared" si="8"/>
        <v>Not Assessed</v>
      </c>
      <c r="R24" t="str">
        <f t="shared" si="9"/>
        <v>N</v>
      </c>
      <c r="S24">
        <f>IF(R24="Y", 0, Points!H20)</f>
        <v>16</v>
      </c>
      <c r="T24">
        <f>IF(Tabulations!E24=1, MAX(Tabulations!V24:AA24), 0)</f>
        <v>0</v>
      </c>
      <c r="W24">
        <f>IF(AND(G24=1), Points!C20, 0)</f>
        <v>0</v>
      </c>
      <c r="X24">
        <f>IF(AND(G24=1, H24=1),Points!D20, 0)</f>
        <v>0</v>
      </c>
      <c r="Y24">
        <f>IF(AND(G24=1, H24=1,I24= 1), Points!E20, 0)</f>
        <v>0</v>
      </c>
      <c r="Z24">
        <f>IF(AND(G24=1, H24=1,I24= 1, J24=1),Points!F20,0)</f>
        <v>0</v>
      </c>
      <c r="AA24">
        <f>IF(AND(G24=1, H24=1,I24= 1, J24=1, K24=1),Points!G20,0)</f>
        <v>0</v>
      </c>
      <c r="AD24" t="s">
        <v>117</v>
      </c>
      <c r="AE24" t="s">
        <v>122</v>
      </c>
      <c r="AF24" t="s">
        <v>118</v>
      </c>
      <c r="AG24" t="s">
        <v>119</v>
      </c>
      <c r="AH24" t="s">
        <v>120</v>
      </c>
    </row>
    <row r="25" spans="3:34">
      <c r="C25" t="s">
        <v>41</v>
      </c>
      <c r="D25" s="5">
        <f t="shared" si="5"/>
        <v>0</v>
      </c>
      <c r="E25" s="3">
        <f>IF(Leadership!$F$96="Yes",1,2)</f>
        <v>2</v>
      </c>
      <c r="F25" s="3">
        <f>IF(Leadership!$F$96="No",3,0)</f>
        <v>0</v>
      </c>
      <c r="G25" s="3">
        <f>IF(Leadership!$F$98="Yes",1,2)</f>
        <v>2</v>
      </c>
      <c r="H25" s="3">
        <f>IF(Leadership!$F$99="Yes",1,2)</f>
        <v>2</v>
      </c>
      <c r="I25" s="3">
        <f>IF(Leadership!$F$100="Yes",1,2)</f>
        <v>2</v>
      </c>
      <c r="J25" s="3">
        <f>IF(Leadership!$F$101="Yes",1,2)</f>
        <v>2</v>
      </c>
      <c r="K25" s="3">
        <f>IF(Leadership!$F$102="Yes",1,2)</f>
        <v>2</v>
      </c>
      <c r="L25" s="13"/>
      <c r="M25" s="13"/>
      <c r="N25" s="3">
        <f t="shared" si="10"/>
        <v>0</v>
      </c>
      <c r="O25" s="3">
        <f t="shared" si="11"/>
        <v>0</v>
      </c>
      <c r="Q25" t="str">
        <f t="shared" si="8"/>
        <v>Not Assessed</v>
      </c>
      <c r="R25" t="str">
        <f t="shared" si="9"/>
        <v>N</v>
      </c>
      <c r="S25">
        <f>IF(R25="Y", 0, Points!H21)</f>
        <v>12</v>
      </c>
      <c r="T25">
        <f>IF(Tabulations!E25=1, MAX(Tabulations!V25:AA25), 0)</f>
        <v>0</v>
      </c>
      <c r="W25">
        <f>IF(AND(G25=1), Points!C21, 0)</f>
        <v>0</v>
      </c>
      <c r="X25">
        <f>IF(AND(G25=1, H25=1,I25=1),Points!D21, 0)</f>
        <v>0</v>
      </c>
      <c r="Y25">
        <f>IF(AND(G25=1, H25=1,I25= 1,J25=1), Points!E21, 0)</f>
        <v>0</v>
      </c>
      <c r="Z25">
        <f>IF(AND(G25=1, H25=1,I25= 1, J25=1,K25=1),Points!F21,0)</f>
        <v>0</v>
      </c>
      <c r="AD25" t="s">
        <v>105</v>
      </c>
      <c r="AE25" t="s">
        <v>122</v>
      </c>
      <c r="AF25" t="s">
        <v>118</v>
      </c>
      <c r="AG25" t="s">
        <v>119</v>
      </c>
    </row>
    <row r="26" spans="3:34">
      <c r="C26" t="s">
        <v>42</v>
      </c>
      <c r="D26" s="5">
        <f t="shared" si="5"/>
        <v>0</v>
      </c>
      <c r="E26" s="3">
        <f>IF(Leadership!$F$110="Yes",1,2)</f>
        <v>2</v>
      </c>
      <c r="F26" s="3">
        <f>IF(Leadership!$F$110="No",3,0)</f>
        <v>0</v>
      </c>
      <c r="G26" s="3">
        <f>IF(Leadership!$F$112="Yes",1,2)</f>
        <v>2</v>
      </c>
      <c r="H26" s="3">
        <f>IF(Leadership!$F$113="Yes",1,2)</f>
        <v>2</v>
      </c>
      <c r="I26" s="3">
        <f>IF(Leadership!$F$114="Yes",1,2)</f>
        <v>2</v>
      </c>
      <c r="J26" s="3">
        <f>IF(Leadership!$F$115="Yes",1,2)</f>
        <v>2</v>
      </c>
      <c r="K26" s="3">
        <f>IF(Leadership!$F$116="Yes",1,2)</f>
        <v>2</v>
      </c>
      <c r="L26" s="13"/>
      <c r="M26" s="13"/>
      <c r="N26" s="3">
        <f t="shared" si="10"/>
        <v>0</v>
      </c>
      <c r="O26" s="3">
        <f t="shared" si="11"/>
        <v>0</v>
      </c>
      <c r="Q26" t="str">
        <f t="shared" si="8"/>
        <v>Not Assessed</v>
      </c>
      <c r="R26" t="str">
        <f t="shared" si="9"/>
        <v>N</v>
      </c>
      <c r="S26">
        <f>IF(R26="Y", 0, Points!H22)</f>
        <v>14</v>
      </c>
      <c r="T26">
        <f>IF(Tabulations!E26=1, MAX(Tabulations!V26:AA26), 0)</f>
        <v>0</v>
      </c>
      <c r="W26">
        <f>IF(AND(G26=1, H26=1), Points!C22, 0)</f>
        <v>0</v>
      </c>
      <c r="X26">
        <f>IF(AND(G26=1, H26=1,I26= 1),Points!D22, 0)</f>
        <v>0</v>
      </c>
      <c r="Y26">
        <f>IF(AND(G26=1, H26=1,I26= 1, J26=1), Points!E22, 0)</f>
        <v>0</v>
      </c>
      <c r="Z26">
        <f>IF(AND(G26=1, H26=1,I26= 1, J26=1, K26=1),Points!F22,0)</f>
        <v>0</v>
      </c>
      <c r="AD26" t="s">
        <v>128</v>
      </c>
      <c r="AE26" t="s">
        <v>122</v>
      </c>
      <c r="AF26" t="s">
        <v>118</v>
      </c>
      <c r="AG26" t="s">
        <v>119</v>
      </c>
    </row>
    <row r="27" spans="3:34">
      <c r="C27" t="s">
        <v>44</v>
      </c>
      <c r="D27" s="5">
        <f t="shared" si="5"/>
        <v>0</v>
      </c>
      <c r="E27" s="3">
        <f>IF(Leadership!$F$126="Yes",1,2)</f>
        <v>2</v>
      </c>
      <c r="F27" s="3">
        <f>IF(Leadership!$F$126="No",3,0)</f>
        <v>0</v>
      </c>
      <c r="G27" s="3">
        <f>IF(Leadership!$F$128="Yes",1,2)</f>
        <v>2</v>
      </c>
      <c r="H27" s="3">
        <f>IF(Leadership!$F$129="Yes",1,2)</f>
        <v>2</v>
      </c>
      <c r="I27" s="3">
        <f>IF(Leadership!$F$130="Yes",1,2)</f>
        <v>2</v>
      </c>
      <c r="J27" s="3">
        <f>IF(Leadership!$F$131="Yes",1,2)</f>
        <v>2</v>
      </c>
      <c r="K27" s="3">
        <f>IF(Leadership!$F$132="Yes",1,2)</f>
        <v>2</v>
      </c>
      <c r="L27" s="13"/>
      <c r="M27" s="13"/>
      <c r="N27" s="3">
        <f t="shared" si="10"/>
        <v>0</v>
      </c>
      <c r="O27" s="3">
        <f t="shared" si="11"/>
        <v>0</v>
      </c>
      <c r="Q27" t="str">
        <f t="shared" si="8"/>
        <v>Not Assessed</v>
      </c>
      <c r="R27" t="str">
        <f t="shared" si="9"/>
        <v>N</v>
      </c>
      <c r="S27">
        <f>IF(R27="Y", 0, Points!H23)</f>
        <v>20</v>
      </c>
      <c r="T27">
        <f>IF(Tabulations!E27=1, MAX(Tabulations!V27:AA27), 0)</f>
        <v>0</v>
      </c>
      <c r="W27">
        <f>IF(AND(G27=1, H27=1), Points!C23, 0)</f>
        <v>0</v>
      </c>
      <c r="X27">
        <f>IF(AND(G27=1, H27=1,I27= 1),Points!D23, 0)</f>
        <v>0</v>
      </c>
      <c r="Y27">
        <f>IF(AND(G27=1, H27=1,I27= 1, J27=1), Points!E23, 0)</f>
        <v>0</v>
      </c>
      <c r="Z27">
        <f>IF(AND(G27=1, H27=1,I27= 1, J27=1, K27=1),Points!F23,0)</f>
        <v>0</v>
      </c>
      <c r="AD27" t="s">
        <v>128</v>
      </c>
      <c r="AE27" t="s">
        <v>122</v>
      </c>
      <c r="AF27" t="s">
        <v>118</v>
      </c>
      <c r="AG27" t="s">
        <v>119</v>
      </c>
    </row>
    <row r="28" spans="3:34">
      <c r="C28" t="s">
        <v>45</v>
      </c>
      <c r="D28" s="5">
        <f t="shared" si="5"/>
        <v>0</v>
      </c>
      <c r="E28" s="3">
        <f>IF(Leadership!$F$140="Yes",1,2)</f>
        <v>2</v>
      </c>
      <c r="F28" s="3">
        <f>IF(Leadership!$F$140="No",3,0)</f>
        <v>0</v>
      </c>
      <c r="G28" s="3">
        <f>IF(Leadership!$F$142="Yes",1,2)</f>
        <v>2</v>
      </c>
      <c r="H28" s="3">
        <f>Leadership!$E$143</f>
        <v>2</v>
      </c>
      <c r="I28" s="3">
        <f>IF(Leadership!$F$145="Yes",1,2)</f>
        <v>2</v>
      </c>
      <c r="J28" s="3">
        <f>IF(Leadership!$F$146="Yes",1,2)</f>
        <v>2</v>
      </c>
      <c r="K28" s="13"/>
      <c r="L28" s="13"/>
      <c r="M28" s="13"/>
      <c r="N28" s="3">
        <f t="shared" si="10"/>
        <v>0</v>
      </c>
      <c r="O28" s="3">
        <f t="shared" si="11"/>
        <v>0</v>
      </c>
      <c r="Q28" t="str">
        <f t="shared" si="8"/>
        <v>Not Assessed</v>
      </c>
      <c r="R28" t="str">
        <f t="shared" si="9"/>
        <v>N</v>
      </c>
      <c r="S28">
        <f>IF(R28="Y", 0, Points!H24)</f>
        <v>16</v>
      </c>
      <c r="T28">
        <f>IF(Tabulations!E28=1, MAX(Tabulations!V28:AA28), 0)</f>
        <v>0</v>
      </c>
      <c r="W28">
        <f>IF(AND(G28=1), Points!C24, 0)</f>
        <v>0</v>
      </c>
      <c r="X28">
        <f>IF(AND($G$28=1, $H$28="A"),Points!D24, 0)</f>
        <v>0</v>
      </c>
      <c r="Y28">
        <f>IF(AND($G$28=1,$H$28="B"), Points!E24, 0)</f>
        <v>0</v>
      </c>
      <c r="Z28">
        <f>IF(AND($G$28=1,$H$28="B",$I$28=1), Points!F24, 0)</f>
        <v>0</v>
      </c>
      <c r="AA28">
        <f>IF(AND($G$28=1,$H$28="B",$I$28=1,J28=1), Points!G24, 0)</f>
        <v>0</v>
      </c>
      <c r="AD28" t="s">
        <v>105</v>
      </c>
      <c r="AE28" t="s">
        <v>128</v>
      </c>
      <c r="AF28" t="s">
        <v>128</v>
      </c>
      <c r="AG28" t="s">
        <v>122</v>
      </c>
      <c r="AH28" t="s">
        <v>118</v>
      </c>
    </row>
    <row r="29" spans="3:34">
      <c r="C29" t="s">
        <v>46</v>
      </c>
      <c r="D29" s="5">
        <f t="shared" si="5"/>
        <v>0</v>
      </c>
      <c r="E29" s="3">
        <f>IF(Leadership!$F$154="Yes",1,2)</f>
        <v>2</v>
      </c>
      <c r="F29" s="3">
        <f>IF(Leadership!$F$154="No",3,0)</f>
        <v>0</v>
      </c>
      <c r="G29" s="3">
        <f>IF(Leadership!$F$156="Yes",1,2)</f>
        <v>2</v>
      </c>
      <c r="H29" s="3">
        <f>IF(Leadership!$F$157="Yes",1,2)</f>
        <v>2</v>
      </c>
      <c r="I29" s="3">
        <f>IF(Leadership!$F$158="Yes",1,2)</f>
        <v>2</v>
      </c>
      <c r="J29" s="3">
        <f>IF(Leadership!$F$159="Yes",1,2)</f>
        <v>2</v>
      </c>
      <c r="K29" s="3">
        <f>IF(Leadership!$F$160="Yes",1,2)</f>
        <v>2</v>
      </c>
      <c r="L29" s="13"/>
      <c r="M29" s="13"/>
      <c r="N29" s="3">
        <f t="shared" si="10"/>
        <v>0</v>
      </c>
      <c r="O29" s="3">
        <f t="shared" si="11"/>
        <v>0</v>
      </c>
      <c r="Q29" t="str">
        <f t="shared" si="8"/>
        <v>Not Assessed</v>
      </c>
      <c r="R29" t="str">
        <f t="shared" si="9"/>
        <v>N</v>
      </c>
      <c r="S29">
        <f>IF(R29="Y", 0, Points!H25)</f>
        <v>14</v>
      </c>
      <c r="T29">
        <f>IF(Tabulations!E29=1, MAX(Tabulations!V29:AA29), 0)</f>
        <v>0</v>
      </c>
      <c r="W29">
        <f>IF(AND(G29=1), Points!C25, 0)</f>
        <v>0</v>
      </c>
      <c r="X29">
        <f>IF(AND(G29=1, H29=1),Points!D25, 0)</f>
        <v>0</v>
      </c>
      <c r="Y29">
        <f>IF(AND(G29=1, H29=1,I29= 1), Points!E25, 0)</f>
        <v>0</v>
      </c>
      <c r="Z29">
        <f>IF(AND(G29=1,I29= 1, J29=1),Points!F25,0)</f>
        <v>0</v>
      </c>
      <c r="AA29">
        <f>IF(AND(G29=1, I29= 1, J29=1, K29=1),Points!G25,0)</f>
        <v>0</v>
      </c>
      <c r="AD29" t="s">
        <v>105</v>
      </c>
      <c r="AE29" t="s">
        <v>128</v>
      </c>
      <c r="AF29" t="s">
        <v>122</v>
      </c>
      <c r="AG29" t="s">
        <v>133</v>
      </c>
      <c r="AH29" t="s">
        <v>134</v>
      </c>
    </row>
    <row r="31" spans="3:34" ht="81.75">
      <c r="C31" s="16"/>
      <c r="D31" s="17"/>
      <c r="E31" s="18" t="s">
        <v>103</v>
      </c>
      <c r="F31" s="18" t="s">
        <v>104</v>
      </c>
      <c r="G31" s="18" t="s">
        <v>105</v>
      </c>
      <c r="H31" s="18" t="s">
        <v>106</v>
      </c>
      <c r="I31" s="18" t="s">
        <v>107</v>
      </c>
      <c r="J31" s="18" t="s">
        <v>108</v>
      </c>
      <c r="K31" s="18" t="s">
        <v>109</v>
      </c>
      <c r="L31" s="18" t="s">
        <v>110</v>
      </c>
      <c r="M31" s="18" t="s">
        <v>111</v>
      </c>
      <c r="N31" s="18" t="s">
        <v>6</v>
      </c>
      <c r="O31" s="18" t="s">
        <v>7</v>
      </c>
      <c r="P31" s="18"/>
      <c r="Q31" s="19" t="s">
        <v>112</v>
      </c>
      <c r="R31" s="19" t="s">
        <v>113</v>
      </c>
      <c r="S31" s="19" t="s">
        <v>114</v>
      </c>
      <c r="T31" s="19" t="s">
        <v>115</v>
      </c>
      <c r="U31" s="19"/>
      <c r="V31" s="19" t="s">
        <v>116</v>
      </c>
      <c r="W31" s="19" t="s">
        <v>8</v>
      </c>
      <c r="X31" s="19" t="s">
        <v>9</v>
      </c>
      <c r="Y31" s="19" t="s">
        <v>10</v>
      </c>
      <c r="Z31" s="19" t="s">
        <v>11</v>
      </c>
      <c r="AA31" s="19" t="s">
        <v>12</v>
      </c>
      <c r="AB31" s="19"/>
      <c r="AC31" s="19"/>
      <c r="AD31" s="18" t="s">
        <v>8</v>
      </c>
      <c r="AE31" s="18" t="s">
        <v>9</v>
      </c>
      <c r="AF31" s="18" t="s">
        <v>10</v>
      </c>
      <c r="AG31" s="18" t="s">
        <v>11</v>
      </c>
      <c r="AH31" s="18" t="s">
        <v>12</v>
      </c>
    </row>
    <row r="32" spans="3:34">
      <c r="C32" t="s">
        <v>48</v>
      </c>
      <c r="D32" s="5">
        <f t="shared" ref="D32:D44" si="12">SUM(N32:O32)</f>
        <v>0</v>
      </c>
      <c r="E32" s="3">
        <f>IF('Resource Allocation'!F10="Yes",1,2)</f>
        <v>2</v>
      </c>
      <c r="F32" s="3">
        <f>IF('Resource Allocation'!F10="No",3,0)</f>
        <v>0</v>
      </c>
      <c r="G32" s="3">
        <f>IF('Resource Allocation'!F12="Yes",1,2)</f>
        <v>2</v>
      </c>
      <c r="H32" s="3">
        <f>'Resource Allocation'!E13</f>
        <v>2</v>
      </c>
      <c r="I32" s="13"/>
      <c r="J32" s="13"/>
      <c r="K32" s="13"/>
      <c r="L32" s="13"/>
      <c r="M32" s="13"/>
      <c r="N32" s="3">
        <f t="shared" ref="N32" si="13">IF(OR(F32=3,E32=2),0, COUNTIF(G32:M32, 1)+COUNTIF(G32:M32, "A")+ COUNTIF(G32:M32, "B")+ COUNTIF(G32:M32, "C")+ COUNTIF(G32:M32, "D")+ COUNTIF(G32:M32, "E"))</f>
        <v>0</v>
      </c>
      <c r="O32" s="3">
        <f t="shared" ref="O32" si="14">IF(OR(F32=3,E32=2),0,COUNTIF(G32:M32, 2)+COUNTIF(G32:M32, 0))</f>
        <v>0</v>
      </c>
      <c r="Q32" t="str">
        <f t="shared" ref="Q32:Q44" si="15">IF(R32="Y","Not Applicable",IF(E32=1,"Assessed","Not Assessed"))</f>
        <v>Not Assessed</v>
      </c>
      <c r="R32" t="str">
        <f t="shared" ref="R32:R44" si="16">IF(F32=3, "Y", "N")</f>
        <v>N</v>
      </c>
      <c r="S32">
        <f>IF(R32="Y", 0, Points!H26)</f>
        <v>12</v>
      </c>
      <c r="T32">
        <f>IF(Tabulations!E32=1, MAX(Tabulations!V32:AA32), 0)</f>
        <v>0</v>
      </c>
      <c r="W32">
        <f>IF(AND($G$32=1,$H$32="A"), Points!C26, 0)</f>
        <v>0</v>
      </c>
      <c r="X32">
        <f>IF(AND($G$32=1,$H$32="B"), Points!D26, 0)</f>
        <v>0</v>
      </c>
      <c r="Y32">
        <f>IF(AND($G$32=1,$H$32="C"), Points!E26, 0)</f>
        <v>0</v>
      </c>
      <c r="Z32">
        <f>IF(AND($G$32=1,$H$32="D"), Points!F26, 0)</f>
        <v>0</v>
      </c>
      <c r="AD32" t="s">
        <v>117</v>
      </c>
      <c r="AE32" t="s">
        <v>117</v>
      </c>
      <c r="AF32" t="s">
        <v>117</v>
      </c>
      <c r="AG32" t="s">
        <v>117</v>
      </c>
    </row>
    <row r="33" spans="3:34">
      <c r="C33" t="s">
        <v>49</v>
      </c>
      <c r="D33" s="5">
        <f t="shared" si="12"/>
        <v>0</v>
      </c>
      <c r="E33" s="3">
        <f>IF('Resource Allocation'!F22="Yes",1,2)</f>
        <v>2</v>
      </c>
      <c r="F33" s="3">
        <f>IF('Resource Allocation'!F22="No",3,0)</f>
        <v>0</v>
      </c>
      <c r="G33" s="3">
        <f>'Resource Allocation'!$E24</f>
        <v>2</v>
      </c>
      <c r="H33" s="13"/>
      <c r="I33" s="13"/>
      <c r="J33" s="13"/>
      <c r="K33" s="13"/>
      <c r="L33" s="13"/>
      <c r="M33" s="13"/>
      <c r="N33" s="3">
        <f t="shared" ref="N33:N44" si="17">IF(OR(F33=3,E33=2),0, COUNTIF(G33:M33, 1)+COUNTIF(G33:M33, "A")+ COUNTIF(G33:M33, "B")+ COUNTIF(G33:M33, "C")+ COUNTIF(G33:M33, "D")+ COUNTIF(G33:M33, "E"))</f>
        <v>0</v>
      </c>
      <c r="O33" s="3">
        <f t="shared" ref="O33:O44" si="18">IF(OR(F33=3,E33=2),0,COUNTIF(G33:M33, 2)+COUNTIF(G33:M33, 0))</f>
        <v>0</v>
      </c>
      <c r="Q33" t="str">
        <f t="shared" si="15"/>
        <v>Not Assessed</v>
      </c>
      <c r="R33" t="str">
        <f t="shared" si="16"/>
        <v>N</v>
      </c>
      <c r="S33">
        <f>IF(R33="Y", 0, Points!H27)</f>
        <v>16</v>
      </c>
      <c r="T33">
        <f>IF(Tabulations!E33=1, MAX(Tabulations!V33:AA33), 0)</f>
        <v>0</v>
      </c>
      <c r="W33">
        <f>IF(AND($G$33="A"), Points!C27, 0)</f>
        <v>0</v>
      </c>
      <c r="X33">
        <f>IF(AND($G$33="B"), Points!D27, 0)</f>
        <v>0</v>
      </c>
      <c r="Y33">
        <f>IF(AND($G$33="C"), Points!E27, 0)</f>
        <v>0</v>
      </c>
      <c r="Z33">
        <f>IF(AND($G$33="D"), Points!F27, 0)</f>
        <v>0</v>
      </c>
      <c r="AD33" t="s">
        <v>135</v>
      </c>
      <c r="AE33" t="s">
        <v>135</v>
      </c>
      <c r="AF33" t="s">
        <v>135</v>
      </c>
      <c r="AG33" t="s">
        <v>135</v>
      </c>
    </row>
    <row r="34" spans="3:34">
      <c r="C34" t="s">
        <v>50</v>
      </c>
      <c r="D34" s="5">
        <f t="shared" si="12"/>
        <v>0</v>
      </c>
      <c r="E34" s="3">
        <f>IF('Resource Allocation'!$F33="Yes",1,2)</f>
        <v>2</v>
      </c>
      <c r="F34" s="3">
        <f>IF('Resource Allocation'!$F33="No",3,0)</f>
        <v>0</v>
      </c>
      <c r="G34" s="3">
        <f>IF('Resource Allocation'!$F35="Yes",1,2)</f>
        <v>2</v>
      </c>
      <c r="H34" s="3">
        <f>'Resource Allocation'!$E36</f>
        <v>2</v>
      </c>
      <c r="I34" s="13"/>
      <c r="J34" s="13"/>
      <c r="K34" s="13"/>
      <c r="L34" s="13"/>
      <c r="M34" s="13"/>
      <c r="N34" s="3">
        <f t="shared" si="17"/>
        <v>0</v>
      </c>
      <c r="O34" s="3">
        <f t="shared" si="18"/>
        <v>0</v>
      </c>
      <c r="Q34" t="str">
        <f t="shared" si="15"/>
        <v>Not Assessed</v>
      </c>
      <c r="R34" t="str">
        <f t="shared" si="16"/>
        <v>N</v>
      </c>
      <c r="S34">
        <f>IF(R34="Y", 0, Points!H28)</f>
        <v>14</v>
      </c>
      <c r="T34">
        <f>IF(Tabulations!E34=1, MAX(Tabulations!V34:AA34), 0)</f>
        <v>0</v>
      </c>
      <c r="W34">
        <f>IF(AND($G$34=1,$H$34="A"), Points!C28, 0)</f>
        <v>0</v>
      </c>
      <c r="X34">
        <f>IF(AND($G$34=1,$H$34="B"), Points!D28, 0)</f>
        <v>0</v>
      </c>
      <c r="Y34">
        <f>IF(AND($G$34=1,$H$34="C"), Points!E28, 0)</f>
        <v>0</v>
      </c>
      <c r="Z34">
        <f>IF(AND($G$34=1,$H$34="D"), Points!F28, 0)</f>
        <v>0</v>
      </c>
      <c r="AD34" t="s">
        <v>117</v>
      </c>
      <c r="AE34" t="s">
        <v>117</v>
      </c>
      <c r="AF34" t="s">
        <v>117</v>
      </c>
      <c r="AG34" t="s">
        <v>117</v>
      </c>
    </row>
    <row r="35" spans="3:34">
      <c r="C35" t="s">
        <v>51</v>
      </c>
      <c r="D35" s="5">
        <f t="shared" si="12"/>
        <v>0</v>
      </c>
      <c r="E35" s="3">
        <f>IF('Resource Allocation'!$F45="Yes",1,2)</f>
        <v>2</v>
      </c>
      <c r="F35" s="3">
        <f>IF('Resource Allocation'!$F45="No",3,0)</f>
        <v>0</v>
      </c>
      <c r="G35" s="3">
        <f>IF('Resource Allocation'!$F47="Yes",1,2)</f>
        <v>2</v>
      </c>
      <c r="H35" s="3">
        <f>'Resource Allocation'!$E48</f>
        <v>2</v>
      </c>
      <c r="I35" s="13"/>
      <c r="J35" s="13"/>
      <c r="K35" s="13"/>
      <c r="L35" s="13"/>
      <c r="M35" s="13"/>
      <c r="N35" s="3">
        <f t="shared" si="17"/>
        <v>0</v>
      </c>
      <c r="O35" s="3">
        <f t="shared" si="18"/>
        <v>0</v>
      </c>
      <c r="Q35" t="str">
        <f t="shared" si="15"/>
        <v>Not Assessed</v>
      </c>
      <c r="R35" t="str">
        <f t="shared" si="16"/>
        <v>N</v>
      </c>
      <c r="S35">
        <f>IF(R35="Y", 0, Points!H29)</f>
        <v>16</v>
      </c>
      <c r="T35">
        <f>IF(Tabulations!E35=1, MAX(Tabulations!V35:AA35), 0)</f>
        <v>0</v>
      </c>
      <c r="W35">
        <f>IF(AND($G$35=1,$H$35="A"), Points!C29, 0)</f>
        <v>0</v>
      </c>
      <c r="X35">
        <f>IF(AND($G$35=1,$H$35="B"), Points!D29, 0)</f>
        <v>0</v>
      </c>
      <c r="Y35">
        <f>IF(AND($G$35=1,$H$35="C"), Points!E29, 0)</f>
        <v>0</v>
      </c>
      <c r="Z35">
        <f>IF(AND($G$35=1,$H$35="D"), Points!F29, 0)</f>
        <v>0</v>
      </c>
      <c r="AD35" t="s">
        <v>117</v>
      </c>
      <c r="AE35" t="s">
        <v>117</v>
      </c>
      <c r="AF35" t="s">
        <v>117</v>
      </c>
      <c r="AG35" t="s">
        <v>117</v>
      </c>
    </row>
    <row r="36" spans="3:34">
      <c r="C36" t="s">
        <v>52</v>
      </c>
      <c r="D36" s="5">
        <f t="shared" si="12"/>
        <v>0</v>
      </c>
      <c r="E36" s="3">
        <f>IF('Resource Allocation'!$F58="Yes",1,2)</f>
        <v>2</v>
      </c>
      <c r="F36" s="3">
        <f>IF('Resource Allocation'!$F58="No",3,0)</f>
        <v>0</v>
      </c>
      <c r="G36" s="3">
        <f>'Resource Allocation'!$E60</f>
        <v>2</v>
      </c>
      <c r="H36" s="13"/>
      <c r="I36" s="13"/>
      <c r="J36" s="13"/>
      <c r="K36" s="13"/>
      <c r="L36" s="13"/>
      <c r="M36" s="13"/>
      <c r="N36" s="3">
        <f t="shared" si="17"/>
        <v>0</v>
      </c>
      <c r="O36" s="3">
        <f t="shared" si="18"/>
        <v>0</v>
      </c>
      <c r="Q36" t="str">
        <f t="shared" si="15"/>
        <v>Not Assessed</v>
      </c>
      <c r="R36" t="str">
        <f t="shared" si="16"/>
        <v>N</v>
      </c>
      <c r="S36">
        <f>IF(R36="Y", 0, Points!H30)</f>
        <v>8</v>
      </c>
      <c r="T36">
        <f>IF(Tabulations!E36=1, MAX(Tabulations!V36:AA36), 0)</f>
        <v>0</v>
      </c>
      <c r="W36">
        <f>IF(AND($G$36="A"), Points!C30, 0)</f>
        <v>0</v>
      </c>
      <c r="X36">
        <f>IF(AND($G$36="B"), Points!D30, 0)</f>
        <v>0</v>
      </c>
      <c r="Y36">
        <f>IF(AND($G$36="C"), Points!E30, 0)</f>
        <v>0</v>
      </c>
      <c r="Z36">
        <f>IF(AND($G$36="D"), Points!F30, 0)</f>
        <v>0</v>
      </c>
      <c r="AD36" t="s">
        <v>135</v>
      </c>
      <c r="AE36" t="s">
        <v>135</v>
      </c>
      <c r="AF36" t="s">
        <v>135</v>
      </c>
      <c r="AG36" t="s">
        <v>135</v>
      </c>
    </row>
    <row r="37" spans="3:34">
      <c r="C37" t="s">
        <v>54</v>
      </c>
      <c r="D37" s="5">
        <f t="shared" si="12"/>
        <v>0</v>
      </c>
      <c r="E37" s="3">
        <f>IF('Resource Allocation'!$F71="Yes",1,2)</f>
        <v>2</v>
      </c>
      <c r="F37" s="3">
        <f>IF('Resource Allocation'!$F71="No",3,0)</f>
        <v>0</v>
      </c>
      <c r="G37" s="3">
        <f>IF('Resource Allocation'!$F73="Yes",1,2)</f>
        <v>2</v>
      </c>
      <c r="H37" s="3">
        <f>'Resource Allocation'!$E74</f>
        <v>2</v>
      </c>
      <c r="I37" s="13"/>
      <c r="J37" s="13"/>
      <c r="K37" s="13"/>
      <c r="L37" s="13"/>
      <c r="M37" s="13"/>
      <c r="N37" s="3">
        <f t="shared" si="17"/>
        <v>0</v>
      </c>
      <c r="O37" s="3">
        <f t="shared" si="18"/>
        <v>0</v>
      </c>
      <c r="Q37" t="str">
        <f t="shared" si="15"/>
        <v>Not Assessed</v>
      </c>
      <c r="R37" t="str">
        <f t="shared" si="16"/>
        <v>N</v>
      </c>
      <c r="S37">
        <f>IF(R37="Y", 0, Points!H31)</f>
        <v>26</v>
      </c>
      <c r="T37">
        <f>IF(Tabulations!E37=1, MAX(Tabulations!V37:AA37), 0)</f>
        <v>0</v>
      </c>
      <c r="W37">
        <f>IF(AND($G$37=1,$H$37="A"), Points!C31, 0)</f>
        <v>0</v>
      </c>
      <c r="X37">
        <f>IF(AND($G$37=1,$H$37="B"), Points!D31, 0)</f>
        <v>0</v>
      </c>
      <c r="Y37">
        <f>IF(AND($G$37=1,$H$37="C"), Points!E31, 0)</f>
        <v>0</v>
      </c>
      <c r="Z37">
        <f>IF(AND($G$37=1,$H$37="D"), Points!F31, 0)</f>
        <v>0</v>
      </c>
      <c r="AD37" t="s">
        <v>117</v>
      </c>
      <c r="AE37" t="s">
        <v>117</v>
      </c>
      <c r="AF37" t="s">
        <v>117</v>
      </c>
      <c r="AG37" t="s">
        <v>117</v>
      </c>
    </row>
    <row r="38" spans="3:34">
      <c r="C38" t="s">
        <v>55</v>
      </c>
      <c r="D38" s="5">
        <f t="shared" si="12"/>
        <v>0</v>
      </c>
      <c r="E38" s="3">
        <f>IF('Resource Allocation'!$F83="Yes",1,2)</f>
        <v>2</v>
      </c>
      <c r="F38" s="3">
        <f>IF('Resource Allocation'!$F83="No",3,0)</f>
        <v>0</v>
      </c>
      <c r="G38" s="3">
        <f>IF('Resource Allocation'!$F85="Yes",1,2)</f>
        <v>2</v>
      </c>
      <c r="H38" s="3">
        <f>'Resource Allocation'!$E86</f>
        <v>2</v>
      </c>
      <c r="I38" s="13"/>
      <c r="J38" s="13"/>
      <c r="K38" s="13"/>
      <c r="L38" s="13"/>
      <c r="M38" s="13"/>
      <c r="N38" s="3">
        <f t="shared" si="17"/>
        <v>0</v>
      </c>
      <c r="O38" s="3">
        <f t="shared" si="18"/>
        <v>0</v>
      </c>
      <c r="Q38" t="str">
        <f t="shared" si="15"/>
        <v>Not Assessed</v>
      </c>
      <c r="R38" t="str">
        <f t="shared" si="16"/>
        <v>N</v>
      </c>
      <c r="S38">
        <f>IF(R38="Y", 0, Points!H32)</f>
        <v>12</v>
      </c>
      <c r="T38">
        <f>IF(Tabulations!E38=1, MAX(Tabulations!V38:AA38), 0)</f>
        <v>0</v>
      </c>
      <c r="W38">
        <f>IF(AND(G38=1), Points!C32, 0)</f>
        <v>0</v>
      </c>
      <c r="X38">
        <f>IF(AND($G$38=1,$H$38="A"), Points!D32, 0)</f>
        <v>0</v>
      </c>
      <c r="Y38">
        <f>IF(AND($G$38=1,$H$38="B"), Points!E32, 0)</f>
        <v>0</v>
      </c>
      <c r="Z38">
        <f>IF(AND($G$38=1,$H$38="C"), Points!F32, 0)</f>
        <v>0</v>
      </c>
      <c r="AD38" t="s">
        <v>105</v>
      </c>
      <c r="AE38" t="s">
        <v>117</v>
      </c>
      <c r="AF38" t="s">
        <v>117</v>
      </c>
      <c r="AG38" t="s">
        <v>117</v>
      </c>
    </row>
    <row r="39" spans="3:34">
      <c r="C39" t="s">
        <v>57</v>
      </c>
      <c r="D39" s="5">
        <f t="shared" si="12"/>
        <v>0</v>
      </c>
      <c r="E39" s="3">
        <f>IF('Resource Allocation'!$F95="Yes",1,2)</f>
        <v>2</v>
      </c>
      <c r="F39" s="3">
        <f>IF('Resource Allocation'!$F95="No",3,0)</f>
        <v>0</v>
      </c>
      <c r="G39" s="3">
        <f>'Resource Allocation'!$E97</f>
        <v>2</v>
      </c>
      <c r="H39" s="13"/>
      <c r="I39" s="13"/>
      <c r="J39" s="13"/>
      <c r="K39" s="13"/>
      <c r="L39" s="13"/>
      <c r="M39" s="13"/>
      <c r="N39" s="3">
        <f t="shared" si="17"/>
        <v>0</v>
      </c>
      <c r="O39" s="3">
        <f t="shared" si="18"/>
        <v>0</v>
      </c>
      <c r="Q39" t="str">
        <f t="shared" si="15"/>
        <v>Not Assessed</v>
      </c>
      <c r="R39" t="str">
        <f t="shared" si="16"/>
        <v>N</v>
      </c>
      <c r="S39">
        <f>IF(R39="Y", 0, Points!H33)</f>
        <v>24</v>
      </c>
      <c r="T39">
        <f>IF(Tabulations!E39=1, MAX(Tabulations!V39:AA39), 0)</f>
        <v>0</v>
      </c>
      <c r="W39">
        <f>IF(AND($G$39="A"), Points!C33, 0)</f>
        <v>0</v>
      </c>
      <c r="X39">
        <f>IF(AND($G$39="B"), Points!D33, 0)</f>
        <v>0</v>
      </c>
      <c r="Y39">
        <f>IF(AND($G$39="C"), Points!E33, 0)</f>
        <v>0</v>
      </c>
      <c r="Z39">
        <f>IF(AND($G$39="D"), Points!F33, 0)</f>
        <v>0</v>
      </c>
      <c r="AA39">
        <f>IF(AND($G$39="E"), Points!G33, 0)</f>
        <v>0</v>
      </c>
      <c r="AD39" t="s">
        <v>105</v>
      </c>
      <c r="AE39" t="s">
        <v>105</v>
      </c>
      <c r="AF39" t="s">
        <v>105</v>
      </c>
      <c r="AG39" t="s">
        <v>105</v>
      </c>
      <c r="AH39" t="s">
        <v>105</v>
      </c>
    </row>
    <row r="40" spans="3:34">
      <c r="C40" t="s">
        <v>59</v>
      </c>
      <c r="D40" s="5">
        <f t="shared" si="12"/>
        <v>0</v>
      </c>
      <c r="E40" s="3">
        <f>IF('Resource Allocation'!$F107="Yes",1,2)</f>
        <v>2</v>
      </c>
      <c r="F40" s="3">
        <f>IF('Resource Allocation'!$F107="No",3,0)</f>
        <v>0</v>
      </c>
      <c r="G40" s="3">
        <f>'Resource Allocation'!E109</f>
        <v>2</v>
      </c>
      <c r="H40" s="3">
        <f>'Resource Allocation'!E111</f>
        <v>2</v>
      </c>
      <c r="I40" s="3">
        <f>IF('Resource Allocation'!$F113="Yes",1,2)</f>
        <v>2</v>
      </c>
      <c r="J40" s="13"/>
      <c r="K40" s="13"/>
      <c r="L40" s="13"/>
      <c r="M40" s="13"/>
      <c r="N40" s="3">
        <f t="shared" si="17"/>
        <v>0</v>
      </c>
      <c r="O40" s="3">
        <f t="shared" si="18"/>
        <v>0</v>
      </c>
      <c r="Q40" t="str">
        <f t="shared" si="15"/>
        <v>Not Assessed</v>
      </c>
      <c r="R40" t="str">
        <f t="shared" si="16"/>
        <v>N</v>
      </c>
      <c r="S40">
        <f>IF(R40="Y", 0, Points!H34)</f>
        <v>14</v>
      </c>
      <c r="T40">
        <f>IF(Tabulations!E40=1, MAX(Tabulations!V40:AA40), 0)</f>
        <v>0</v>
      </c>
      <c r="W40">
        <f>IF(AND(IF(OR($G$40="A",$G$40="B",$G$40="C"),1,0)=1, IF(OR($H$40="A",$H$40="B",$H$40="C",$H$40="D"),1,0)=1), Points!C34, 0)</f>
        <v>0</v>
      </c>
      <c r="X40">
        <f>IF(AND(IF(OR($G$40="B",$G$40="C"),1,0)=1, IF(OR($H$40="B",$H$40="C",$H$40="D"),1,0)=1), Points!D34, 0)</f>
        <v>0</v>
      </c>
      <c r="Y40">
        <f>IF(AND($G$40="C", IF(OR($H$40="C",$H$40="D"),1,0)=1,$I$40=1), Points!E34, 0)</f>
        <v>0</v>
      </c>
      <c r="Z40">
        <f>IF(AND($G$40="C", $H$40="D",$I$40=1), Points!F34, 0)</f>
        <v>0</v>
      </c>
      <c r="AD40" t="s">
        <v>128</v>
      </c>
      <c r="AE40" t="s">
        <v>128</v>
      </c>
      <c r="AF40" t="s">
        <v>129</v>
      </c>
      <c r="AG40" t="s">
        <v>129</v>
      </c>
    </row>
    <row r="41" spans="3:34">
      <c r="C41" t="s">
        <v>61</v>
      </c>
      <c r="D41" s="5">
        <f t="shared" si="12"/>
        <v>0</v>
      </c>
      <c r="E41" s="3">
        <f>IF('Resource Allocation'!$F121="Yes",1,2)</f>
        <v>2</v>
      </c>
      <c r="F41" s="3">
        <f>IF('Resource Allocation'!$F121="No",3,0)</f>
        <v>0</v>
      </c>
      <c r="G41" s="3">
        <f>IF('Resource Allocation'!$F123="Yes",1,2)</f>
        <v>2</v>
      </c>
      <c r="H41" s="3">
        <f>IF('Resource Allocation'!$F124="Yes",1,2)</f>
        <v>2</v>
      </c>
      <c r="I41" s="3">
        <f>IF('Resource Allocation'!$F125="Yes",1,2)</f>
        <v>2</v>
      </c>
      <c r="J41" s="3">
        <f>IF('Resource Allocation'!$F126="Yes",1,2)</f>
        <v>2</v>
      </c>
      <c r="K41" s="3">
        <f>IF('Resource Allocation'!$F127="Yes",1,2)</f>
        <v>2</v>
      </c>
      <c r="L41" s="3">
        <f>IF('Resource Allocation'!$F128="Yes",1,2)</f>
        <v>2</v>
      </c>
      <c r="M41" s="13"/>
      <c r="N41" s="3">
        <f t="shared" si="17"/>
        <v>0</v>
      </c>
      <c r="O41" s="3">
        <f t="shared" si="18"/>
        <v>0</v>
      </c>
      <c r="Q41" t="str">
        <f t="shared" si="15"/>
        <v>Not Assessed</v>
      </c>
      <c r="R41" t="str">
        <f t="shared" si="16"/>
        <v>N</v>
      </c>
      <c r="S41">
        <f>IF(R41="Y", 0, Points!H35)</f>
        <v>12</v>
      </c>
      <c r="T41">
        <f>IF(Tabulations!E41=1, MAX(Tabulations!V41:AA41), 0)</f>
        <v>0</v>
      </c>
      <c r="W41">
        <f>IF(AND(G41=1,H41=1), Points!C35, 0)</f>
        <v>0</v>
      </c>
      <c r="X41">
        <f>IF(AND(G41=1,H41=1,I41=1), Points!D35, 0)</f>
        <v>0</v>
      </c>
      <c r="Y41">
        <f>IF(AND(G41=1,H41=1,I41=1, J41=1), Points!E35, 0)</f>
        <v>0</v>
      </c>
      <c r="Z41">
        <f>IF(AND(G41=1,H41=1,I41=1,J41=1,K41=1), Points!F35, 0)</f>
        <v>0</v>
      </c>
      <c r="AA41">
        <f>IF(AND(G41=1,H41=1,I41=1,J41=1,K41=1,L41=1), Points!G35, 0)</f>
        <v>0</v>
      </c>
      <c r="AD41" t="s">
        <v>117</v>
      </c>
      <c r="AE41" t="s">
        <v>122</v>
      </c>
      <c r="AF41" t="s">
        <v>118</v>
      </c>
      <c r="AG41" t="s">
        <v>119</v>
      </c>
      <c r="AH41" t="s">
        <v>120</v>
      </c>
    </row>
    <row r="42" spans="3:34">
      <c r="C42" t="s">
        <v>62</v>
      </c>
      <c r="D42" s="5">
        <f t="shared" si="12"/>
        <v>0</v>
      </c>
      <c r="E42" s="3">
        <f>IF('Resource Allocation'!$F136="Yes",1,2)</f>
        <v>2</v>
      </c>
      <c r="F42" s="3">
        <f>IF('Resource Allocation'!$F136="No",3,0)</f>
        <v>0</v>
      </c>
      <c r="G42" s="3">
        <f>IF('Resource Allocation'!$F138="Yes",1,2)</f>
        <v>2</v>
      </c>
      <c r="H42" s="3">
        <f>'Resource Allocation'!E139</f>
        <v>2</v>
      </c>
      <c r="I42" s="3">
        <f>'Resource Allocation'!E141</f>
        <v>2</v>
      </c>
      <c r="J42" s="3">
        <f>IF('Resource Allocation'!$F143="Yes",1,2)</f>
        <v>2</v>
      </c>
      <c r="K42" s="13"/>
      <c r="L42" s="13"/>
      <c r="M42" s="13"/>
      <c r="N42" s="3">
        <f t="shared" si="17"/>
        <v>0</v>
      </c>
      <c r="O42" s="3">
        <f t="shared" si="18"/>
        <v>0</v>
      </c>
      <c r="Q42" t="str">
        <f t="shared" si="15"/>
        <v>Not Assessed</v>
      </c>
      <c r="R42" t="str">
        <f t="shared" si="16"/>
        <v>N</v>
      </c>
      <c r="S42">
        <f>IF(R42="Y", 0, Points!H36)</f>
        <v>22</v>
      </c>
      <c r="T42">
        <f>IF(Tabulations!E42=1, MAX(Tabulations!V42:AA42), 0)</f>
        <v>0</v>
      </c>
      <c r="W42">
        <f>IF(AND($G$42=1,IF(OR($H$42="A",$H$42="B",$H$42="C",$H$42="D",$H$42="E"),1,0)=1), Points!C36, 0)</f>
        <v>0</v>
      </c>
      <c r="X42">
        <f>IF(AND($G$42=1,IF(OR($H$42="B",$H$42="C",$H$42="D",$H$42="E"),1,0)=1,IF(OR($I$42="A",$I$42="B",$I$42="C",$I$42="D"),1,0)=1), Points!D36, 0)</f>
        <v>0</v>
      </c>
      <c r="Y42">
        <f>IF(AND($G$42=1,IF(OR($H$42="C",$H$42="D",$H$42="E"),1,0)=1,IF(OR($I$42="B",$I$42="C",$I$42="D"),1,0)=1), Points!E36, 0)</f>
        <v>0</v>
      </c>
      <c r="Z42">
        <f>IF(AND($G$42=1,IF(OR($H$42="D",$H$42="E"),1,0)=1,IF(OR($I$42="C",$I$42="D"),1,0)=1), Points!F36, 0)</f>
        <v>0</v>
      </c>
      <c r="AA42">
        <f>IF(AND($G$42=1,$H$42="E",$I$42="D",J42=1), Points!G36, 0)</f>
        <v>0</v>
      </c>
      <c r="AD42" t="s">
        <v>128</v>
      </c>
      <c r="AE42" t="s">
        <v>122</v>
      </c>
      <c r="AF42" t="s">
        <v>122</v>
      </c>
      <c r="AG42" t="s">
        <v>122</v>
      </c>
      <c r="AH42" t="s">
        <v>136</v>
      </c>
    </row>
    <row r="43" spans="3:34">
      <c r="C43" t="s">
        <v>63</v>
      </c>
      <c r="D43" s="5">
        <f t="shared" si="12"/>
        <v>0</v>
      </c>
      <c r="E43" s="3">
        <f>IF('Resource Allocation'!$F151="Yes",1,2)</f>
        <v>2</v>
      </c>
      <c r="F43" s="3">
        <f>IF('Resource Allocation'!$F151="No",3,0)</f>
        <v>0</v>
      </c>
      <c r="G43" s="3">
        <f>IF('Resource Allocation'!$F153="Yes",1,2)</f>
        <v>2</v>
      </c>
      <c r="H43" s="3">
        <f>'Resource Allocation'!E154</f>
        <v>2</v>
      </c>
      <c r="I43" s="13"/>
      <c r="J43" s="13"/>
      <c r="K43" s="13"/>
      <c r="L43" s="13"/>
      <c r="M43" s="13"/>
      <c r="N43" s="3">
        <f t="shared" si="17"/>
        <v>0</v>
      </c>
      <c r="O43" s="3">
        <f t="shared" si="18"/>
        <v>0</v>
      </c>
      <c r="Q43" t="str">
        <f t="shared" si="15"/>
        <v>Not Assessed</v>
      </c>
      <c r="R43" t="str">
        <f t="shared" si="16"/>
        <v>N</v>
      </c>
      <c r="S43">
        <f>IF(R43="Y", 0, Points!H37)</f>
        <v>8</v>
      </c>
      <c r="T43">
        <f>IF(Tabulations!E43=1, MAX(Tabulations!V43:AA43), 0)</f>
        <v>0</v>
      </c>
      <c r="W43">
        <f>IF(AND($G$43=1,$H$43="A"), Points!C37, 0)</f>
        <v>0</v>
      </c>
      <c r="X43">
        <f>IF(AND($G$43=1,$H$43="B"), Points!D37, 0)</f>
        <v>0</v>
      </c>
      <c r="Y43">
        <f>IF(AND($G$43=1,$H$43="C"), Points!E37, 0)</f>
        <v>0</v>
      </c>
      <c r="Z43">
        <f>IF(AND($G$43=1,$H$43="D"), Points!F37, 0)</f>
        <v>0</v>
      </c>
      <c r="AD43" t="s">
        <v>128</v>
      </c>
      <c r="AE43" t="s">
        <v>128</v>
      </c>
      <c r="AF43" t="s">
        <v>128</v>
      </c>
      <c r="AG43" t="s">
        <v>128</v>
      </c>
    </row>
    <row r="44" spans="3:34">
      <c r="C44" t="s">
        <v>64</v>
      </c>
      <c r="D44" s="5">
        <f t="shared" si="12"/>
        <v>0</v>
      </c>
      <c r="E44" s="3">
        <f>IF('Resource Allocation'!$F163="Yes",1,2)</f>
        <v>2</v>
      </c>
      <c r="F44" s="3">
        <f>IF('Resource Allocation'!$F163="No",3,0)</f>
        <v>0</v>
      </c>
      <c r="G44" s="3">
        <f>'Resource Allocation'!E165</f>
        <v>2</v>
      </c>
      <c r="H44" s="3">
        <f>IF('Resource Allocation'!$F167="Yes",1,2)</f>
        <v>2</v>
      </c>
      <c r="I44" s="13"/>
      <c r="J44" s="13"/>
      <c r="K44" s="13"/>
      <c r="L44" s="13"/>
      <c r="M44" s="13"/>
      <c r="N44" s="3">
        <f t="shared" si="17"/>
        <v>0</v>
      </c>
      <c r="O44" s="3">
        <f t="shared" si="18"/>
        <v>0</v>
      </c>
      <c r="Q44" t="str">
        <f t="shared" si="15"/>
        <v>Not Assessed</v>
      </c>
      <c r="R44" t="str">
        <f t="shared" si="16"/>
        <v>N</v>
      </c>
      <c r="S44">
        <f>IF(R44="Y", 0, Points!H38)</f>
        <v>12</v>
      </c>
      <c r="T44">
        <f>IF(Tabulations!E44=1, MAX(Tabulations!V44:AA44), 0)</f>
        <v>0</v>
      </c>
      <c r="W44">
        <f>IF(AND($G$44="A"), Points!C38, 0)</f>
        <v>0</v>
      </c>
      <c r="X44">
        <f>IF(AND($G$44="B"), Points!D38, 0)</f>
        <v>0</v>
      </c>
      <c r="Y44">
        <f>IF(AND($G$44="C"), Points!E38, 0)</f>
        <v>0</v>
      </c>
      <c r="Z44">
        <f>IF(AND($G$44="C",H44=1), Points!F38, 0)</f>
        <v>0</v>
      </c>
      <c r="AD44" t="s">
        <v>105</v>
      </c>
      <c r="AE44" t="s">
        <v>105</v>
      </c>
      <c r="AF44" t="s">
        <v>105</v>
      </c>
      <c r="AG44" t="s">
        <v>128</v>
      </c>
    </row>
    <row r="46" spans="3:34" ht="81.75">
      <c r="C46" s="16"/>
      <c r="D46" s="17"/>
      <c r="E46" s="18" t="s">
        <v>103</v>
      </c>
      <c r="F46" s="18" t="s">
        <v>104</v>
      </c>
      <c r="G46" s="18" t="s">
        <v>105</v>
      </c>
      <c r="H46" s="18" t="s">
        <v>106</v>
      </c>
      <c r="I46" s="18" t="s">
        <v>107</v>
      </c>
      <c r="J46" s="18" t="s">
        <v>108</v>
      </c>
      <c r="K46" s="18" t="s">
        <v>109</v>
      </c>
      <c r="L46" s="18" t="s">
        <v>110</v>
      </c>
      <c r="M46" s="18" t="s">
        <v>111</v>
      </c>
      <c r="N46" s="18" t="s">
        <v>6</v>
      </c>
      <c r="O46" s="18" t="s">
        <v>7</v>
      </c>
      <c r="P46" s="18"/>
      <c r="Q46" s="19" t="s">
        <v>112</v>
      </c>
      <c r="R46" s="19" t="s">
        <v>113</v>
      </c>
      <c r="S46" s="19" t="s">
        <v>114</v>
      </c>
      <c r="T46" s="19" t="s">
        <v>115</v>
      </c>
      <c r="U46" s="19"/>
      <c r="V46" s="19" t="s">
        <v>116</v>
      </c>
      <c r="W46" s="19" t="s">
        <v>8</v>
      </c>
      <c r="X46" s="19" t="s">
        <v>9</v>
      </c>
      <c r="Y46" s="19" t="s">
        <v>10</v>
      </c>
      <c r="Z46" s="19" t="s">
        <v>11</v>
      </c>
      <c r="AA46" s="19" t="s">
        <v>12</v>
      </c>
      <c r="AB46" s="19"/>
      <c r="AC46" s="19"/>
      <c r="AD46" s="18" t="s">
        <v>8</v>
      </c>
      <c r="AE46" s="18" t="s">
        <v>9</v>
      </c>
      <c r="AF46" s="18" t="s">
        <v>10</v>
      </c>
      <c r="AG46" s="18" t="s">
        <v>11</v>
      </c>
      <c r="AH46" s="18" t="s">
        <v>12</v>
      </c>
    </row>
    <row r="47" spans="3:34">
      <c r="C47" t="s">
        <v>66</v>
      </c>
      <c r="D47" s="5">
        <f t="shared" ref="D47:D59" si="19">SUM(N47:O47)</f>
        <v>0</v>
      </c>
      <c r="E47" s="3">
        <f>IF('Natural World'!$F10="Yes",1,2)</f>
        <v>2</v>
      </c>
      <c r="F47" s="3">
        <f>IF('Natural World'!$F10="No",3,0)</f>
        <v>0</v>
      </c>
      <c r="G47" s="3">
        <f>IF('Natural World'!$F12="Yes",1,2)</f>
        <v>2</v>
      </c>
      <c r="H47" s="3">
        <f>'Natural World'!$E13</f>
        <v>2</v>
      </c>
      <c r="I47" s="3">
        <f>IF('Natural World'!$F15="Yes",1,2)</f>
        <v>2</v>
      </c>
      <c r="J47" s="3">
        <f>IF('Natural World'!$F16="Yes",1,2)</f>
        <v>2</v>
      </c>
      <c r="K47" s="3">
        <f>IF('Natural World'!$F17="Yes",1,2)</f>
        <v>2</v>
      </c>
      <c r="L47" s="3">
        <f>IF('Natural World'!$F18="Yes",1,2)</f>
        <v>2</v>
      </c>
      <c r="M47" s="13"/>
      <c r="N47" s="3">
        <f t="shared" ref="N47" si="20">IF(OR(F47=3,E47=2),0, COUNTIF(G47:M47, 1)+COUNTIF(G47:M47, "A")+ COUNTIF(G47:M47, "B")+ COUNTIF(G47:M47, "C")+ COUNTIF(G47:M47, "D")+ COUNTIF(G47:M47, "E"))</f>
        <v>0</v>
      </c>
      <c r="O47" s="3">
        <f t="shared" ref="O47" si="21">IF(OR(F47=3,E47=2),0,COUNTIF(G47:M47, 2)+COUNTIF(G47:M47, 0))</f>
        <v>0</v>
      </c>
      <c r="Q47" t="str">
        <f t="shared" ref="Q47:Q59" si="22">IF(R47="Y","Not Applicable",IF(E47=1,"Assessed","Not Assessed"))</f>
        <v>Not Assessed</v>
      </c>
      <c r="R47" t="str">
        <f t="shared" ref="R47:R59" si="23">IF(F47=3, "Y", "N")</f>
        <v>N</v>
      </c>
      <c r="S47">
        <f>IF(R47="Y", 0, Points!H39)</f>
        <v>22</v>
      </c>
      <c r="T47">
        <f>IF(Tabulations!E47=1, MAX(Tabulations!V47:AA47), 0)</f>
        <v>0</v>
      </c>
      <c r="W47">
        <f>IF(AND(G47=1,H47="A"), Points!C39, 0)</f>
        <v>0</v>
      </c>
      <c r="X47">
        <f>IF(AND(G47=1,H47="B"), Points!D39, 0)</f>
        <v>0</v>
      </c>
      <c r="Y47">
        <f>IF(AND(G47=1,I47=1), Points!E39, 0)</f>
        <v>0</v>
      </c>
      <c r="Z47">
        <f>IF(K47=1,Points!F39,IF(AND(G47=1,I47=1,J47=1),Points!F39,0))</f>
        <v>0</v>
      </c>
      <c r="AA47">
        <f>IF(AND(G47=1,I47=1,J47=1,L47=1), Points!G39, 0)</f>
        <v>0</v>
      </c>
      <c r="AD47" t="s">
        <v>117</v>
      </c>
      <c r="AE47" t="s">
        <v>117</v>
      </c>
      <c r="AF47" t="s">
        <v>129</v>
      </c>
      <c r="AG47" t="s">
        <v>137</v>
      </c>
      <c r="AH47" t="s">
        <v>138</v>
      </c>
    </row>
    <row r="48" spans="3:34">
      <c r="C48" t="s">
        <v>67</v>
      </c>
      <c r="D48" s="5">
        <f t="shared" si="19"/>
        <v>0</v>
      </c>
      <c r="E48" s="3">
        <f>IF('Natural World'!$F26="Yes",1,2)</f>
        <v>2</v>
      </c>
      <c r="F48" s="3">
        <f>IF('Natural World'!$F26="No",3,0)</f>
        <v>0</v>
      </c>
      <c r="G48" s="3">
        <f>IF('Natural World'!$F28="Yes",1,2)</f>
        <v>2</v>
      </c>
      <c r="H48" s="3">
        <f>IF('Natural World'!$F29="Yes",1,2)</f>
        <v>2</v>
      </c>
      <c r="I48" s="3">
        <f>'Natural World'!E30</f>
        <v>2</v>
      </c>
      <c r="J48" s="3">
        <f>IF('Natural World'!$F32="Yes",1,2)</f>
        <v>2</v>
      </c>
      <c r="K48" s="3">
        <f>IF('Natural World'!$F33="Yes",1,2)</f>
        <v>2</v>
      </c>
      <c r="L48" s="13"/>
      <c r="M48" s="13"/>
      <c r="N48" s="3">
        <f t="shared" ref="N48:N59" si="24">IF(OR(F48=3,E48=2),0, COUNTIF(G48:M48, 1)+COUNTIF(G48:M48, "A")+ COUNTIF(G48:M48, "B")+ COUNTIF(G48:M48, "C")+ COUNTIF(G48:M48, "D")+ COUNTIF(G48:M48, "E"))</f>
        <v>0</v>
      </c>
      <c r="O48" s="3">
        <f t="shared" ref="O48:O59" si="25">IF(OR(F48=3,E48=2),0,COUNTIF(G48:M48, 2)+COUNTIF(G48:M48, 0))</f>
        <v>0</v>
      </c>
      <c r="Q48" t="str">
        <f t="shared" si="22"/>
        <v>Not Assessed</v>
      </c>
      <c r="R48" t="str">
        <f t="shared" si="23"/>
        <v>N</v>
      </c>
      <c r="S48">
        <f>IF(R48="Y", 0, Points!H40)</f>
        <v>20</v>
      </c>
      <c r="T48">
        <f>IF(Tabulations!E48=1, MAX(Tabulations!V48:AA48), 0)</f>
        <v>0</v>
      </c>
      <c r="W48">
        <f>IF(AND(G48=1,H48=1,I48="A"), Points!C40, 0)</f>
        <v>0</v>
      </c>
      <c r="X48">
        <f>IF(AND(G48=1,H48=1,I48="B"), Points!D40, 0)</f>
        <v>0</v>
      </c>
      <c r="Y48">
        <f>IF(AND(G48=1,H48=1,I48="C"), Points!E40, 0)</f>
        <v>0</v>
      </c>
      <c r="Z48">
        <f>IF(J48=1,Points!F40,IF(AND(G48=1,H48=1,I48="D"),Points!F40,0))</f>
        <v>0</v>
      </c>
      <c r="AA48">
        <f>IF(AND(G48=1,H48=1,I48="D",K48=1),Points!G40,0)</f>
        <v>0</v>
      </c>
      <c r="AD48" t="s">
        <v>129</v>
      </c>
      <c r="AE48" t="s">
        <v>129</v>
      </c>
      <c r="AF48" t="s">
        <v>129</v>
      </c>
      <c r="AG48" t="s">
        <v>139</v>
      </c>
      <c r="AH48" t="s">
        <v>140</v>
      </c>
    </row>
    <row r="49" spans="3:34">
      <c r="C49" t="s">
        <v>68</v>
      </c>
      <c r="D49" s="5">
        <f t="shared" si="19"/>
        <v>0</v>
      </c>
      <c r="E49" s="3">
        <f>IF('Natural World'!$F41="Yes",1,2)</f>
        <v>2</v>
      </c>
      <c r="F49" s="3">
        <f>IF('Natural World'!$F41="No",3,0)</f>
        <v>0</v>
      </c>
      <c r="G49" s="3">
        <f>IF('Natural World'!$F43="Yes",1,2)</f>
        <v>2</v>
      </c>
      <c r="H49" s="3">
        <f>'Natural World'!E44</f>
        <v>2</v>
      </c>
      <c r="I49" s="3">
        <f>IF('Natural World'!$F46="Yes",1,2)</f>
        <v>2</v>
      </c>
      <c r="J49" s="3">
        <f>IF('Natural World'!$F47="Yes",1,2)</f>
        <v>2</v>
      </c>
      <c r="K49" s="3">
        <f>IF('Natural World'!$F48="Yes",1,2)</f>
        <v>2</v>
      </c>
      <c r="L49" s="13"/>
      <c r="M49" s="13"/>
      <c r="N49" s="3">
        <f t="shared" si="24"/>
        <v>0</v>
      </c>
      <c r="O49" s="3">
        <f t="shared" si="25"/>
        <v>0</v>
      </c>
      <c r="Q49" t="str">
        <f t="shared" si="22"/>
        <v>Not Assessed</v>
      </c>
      <c r="R49" t="str">
        <f t="shared" si="23"/>
        <v>N</v>
      </c>
      <c r="S49">
        <f>IF(R49="Y", 0, Points!H41)</f>
        <v>16</v>
      </c>
      <c r="T49">
        <f>IF(Tabulations!E49=1, MAX(Tabulations!V49:AA49), 0)</f>
        <v>0</v>
      </c>
      <c r="X49">
        <f>IF(AND($G$49=1,IF(OR($H$49="A",$H$49="B",$H$49="C"),1,0)=1,IF(OR($I$49=1,$J$49=1,$K$49=1),1,0)=1), Points!D41, 0)</f>
        <v>0</v>
      </c>
      <c r="Y49">
        <f>IF(AND($G$49=1,IF(OR($H$49="B",$H$49="C"),1,0)=1,IF(OR($I$49=1,$J$49=1,$K$49=1),1,0)=1), Points!E41, 0)</f>
        <v>0</v>
      </c>
      <c r="Z49">
        <f>IF(J49=1,Points!F41,IF(AND($G$49=1,$H$49="C"),Points!F41,0))</f>
        <v>0</v>
      </c>
      <c r="AA49">
        <f>IF(AND($G$49=1,$H$49="C",$K$49=1), Points!G41, 0)</f>
        <v>0</v>
      </c>
      <c r="AE49" t="s">
        <v>129</v>
      </c>
      <c r="AF49" t="s">
        <v>129</v>
      </c>
      <c r="AG49" t="s">
        <v>141</v>
      </c>
      <c r="AH49" t="s">
        <v>132</v>
      </c>
    </row>
    <row r="50" spans="3:34">
      <c r="C50" t="s">
        <v>69</v>
      </c>
      <c r="D50" s="5">
        <f t="shared" si="19"/>
        <v>0</v>
      </c>
      <c r="E50" s="3">
        <f>IF('Natural World'!$F56="Yes",1,2)</f>
        <v>2</v>
      </c>
      <c r="F50" s="3">
        <f>IF('Natural World'!$F56="No",3,0)</f>
        <v>0</v>
      </c>
      <c r="G50" s="3">
        <f>'Natural World'!E58</f>
        <v>2</v>
      </c>
      <c r="H50" s="3">
        <f>IF('Natural World'!$F60="Yes",1,2)</f>
        <v>2</v>
      </c>
      <c r="I50" s="13"/>
      <c r="J50" s="13"/>
      <c r="K50" s="13"/>
      <c r="L50" s="13"/>
      <c r="M50" s="13"/>
      <c r="N50" s="3">
        <f t="shared" si="24"/>
        <v>0</v>
      </c>
      <c r="O50" s="3">
        <f t="shared" si="25"/>
        <v>0</v>
      </c>
      <c r="Q50" t="str">
        <f t="shared" si="22"/>
        <v>Not Assessed</v>
      </c>
      <c r="R50" t="str">
        <f t="shared" si="23"/>
        <v>N</v>
      </c>
      <c r="S50">
        <f>IF(R50="Y", 0, Points!H42)</f>
        <v>24</v>
      </c>
      <c r="T50">
        <f>IF(Tabulations!E50=1, MAX(Tabulations!V50:AA50), 0)</f>
        <v>0</v>
      </c>
      <c r="W50">
        <f>IF(G50="A", Points!C42, 0)</f>
        <v>0</v>
      </c>
      <c r="X50">
        <f>IF(G50="B", Points!D42, 0)</f>
        <v>0</v>
      </c>
      <c r="Y50">
        <f>IF(G50="C", Points!E42, 0)</f>
        <v>0</v>
      </c>
      <c r="Z50">
        <f>IF(G50="D", Points!F42, 0)</f>
        <v>0</v>
      </c>
      <c r="AA50">
        <f>IF(AND(G50="D",H50=1), Points!G42, 0)</f>
        <v>0</v>
      </c>
      <c r="AD50" t="s">
        <v>105</v>
      </c>
      <c r="AE50" t="s">
        <v>105</v>
      </c>
      <c r="AF50" t="s">
        <v>105</v>
      </c>
      <c r="AG50" t="s">
        <v>117</v>
      </c>
      <c r="AH50" t="s">
        <v>117</v>
      </c>
    </row>
    <row r="51" spans="3:34">
      <c r="C51" t="s">
        <v>71</v>
      </c>
      <c r="D51" s="5">
        <f t="shared" si="19"/>
        <v>0</v>
      </c>
      <c r="E51" s="3">
        <f>IF('Natural World'!$F70="Yes",1,2)</f>
        <v>2</v>
      </c>
      <c r="F51" s="3">
        <f>IF('Natural World'!$F70="No",3,0)</f>
        <v>0</v>
      </c>
      <c r="G51" s="3">
        <f>IF('Natural World'!$F72="Yes",1,2)</f>
        <v>2</v>
      </c>
      <c r="H51" s="3">
        <f>IF('Natural World'!$F73="Yes",1,2)</f>
        <v>2</v>
      </c>
      <c r="I51" s="3">
        <f>'Natural World'!E74</f>
        <v>2</v>
      </c>
      <c r="J51" s="3">
        <f>IF('Natural World'!$F76="Yes",1,2)</f>
        <v>2</v>
      </c>
      <c r="K51" s="13"/>
      <c r="L51" s="13"/>
      <c r="M51" s="13"/>
      <c r="N51" s="3">
        <f t="shared" si="24"/>
        <v>0</v>
      </c>
      <c r="O51" s="3">
        <f t="shared" si="25"/>
        <v>0</v>
      </c>
      <c r="Q51" t="str">
        <f t="shared" si="22"/>
        <v>Not Assessed</v>
      </c>
      <c r="R51" t="str">
        <f t="shared" si="23"/>
        <v>N</v>
      </c>
      <c r="S51">
        <f>IF(R51="Y", 0, Points!H43)</f>
        <v>22</v>
      </c>
      <c r="T51">
        <f>IF(Tabulations!E51=1, MAX(Tabulations!V51:AA51), 0)</f>
        <v>0</v>
      </c>
      <c r="W51">
        <f>IF(G51=1, Points!C43, 0)</f>
        <v>0</v>
      </c>
      <c r="X51">
        <f>IF(AND(H51=1,$I51="A"), Points!D43, 0)</f>
        <v>0</v>
      </c>
      <c r="Y51">
        <f>IF(AND(H51=1,$I51="B"), Points!E43, 0)</f>
        <v>0</v>
      </c>
      <c r="Z51">
        <f>IF(AND(H51=1,IF(OR($I51="C",$I51="D"),1,0)=1), Points!F43, 0)</f>
        <v>0</v>
      </c>
      <c r="AA51">
        <f>IF(AND(H51=1,$I51="D",J51=1), Points!G43, 0)</f>
        <v>0</v>
      </c>
      <c r="AD51" t="s">
        <v>105</v>
      </c>
      <c r="AE51" t="s">
        <v>142</v>
      </c>
      <c r="AF51" t="s">
        <v>142</v>
      </c>
      <c r="AG51" t="s">
        <v>142</v>
      </c>
      <c r="AH51" t="s">
        <v>143</v>
      </c>
    </row>
    <row r="52" spans="3:34">
      <c r="C52" t="s">
        <v>72</v>
      </c>
      <c r="D52" s="5">
        <f t="shared" si="19"/>
        <v>0</v>
      </c>
      <c r="E52" s="3">
        <f>IF('Natural World'!$F85="Yes",1,2)</f>
        <v>2</v>
      </c>
      <c r="F52" s="3">
        <f>IF('Natural World'!$F85="No",3,0)</f>
        <v>0</v>
      </c>
      <c r="G52" s="3">
        <f>'Natural World'!E87</f>
        <v>2</v>
      </c>
      <c r="H52" s="3">
        <f>'Natural World'!E89</f>
        <v>2</v>
      </c>
      <c r="I52" s="3">
        <f>IF('Natural World'!$F91="Yes",1,2)</f>
        <v>2</v>
      </c>
      <c r="J52" s="3">
        <f>IF('Natural World'!$F92="Yes",1,2)</f>
        <v>2</v>
      </c>
      <c r="K52" s="13"/>
      <c r="L52" s="13"/>
      <c r="M52" s="13"/>
      <c r="N52" s="3">
        <f t="shared" si="24"/>
        <v>0</v>
      </c>
      <c r="O52" s="3">
        <f t="shared" si="25"/>
        <v>0</v>
      </c>
      <c r="Q52" t="str">
        <f t="shared" si="22"/>
        <v>Not Assessed</v>
      </c>
      <c r="R52" t="str">
        <f t="shared" si="23"/>
        <v>N</v>
      </c>
      <c r="S52">
        <f>IF(R52="Y", 0, Points!H44)</f>
        <v>24</v>
      </c>
      <c r="T52">
        <f>IF(Tabulations!E52=1, MAX(Tabulations!V52:AA52), 0)</f>
        <v>0</v>
      </c>
      <c r="W52">
        <f>IF(AND((IF(OR(G52="A",G52="B",G52="C",G52="D",G52="E"),1,0))=1,(IF(OR(H52="A",H52="B",H52="C",H52="D",H52="E"),1,0))=1,I52=1),Points!C44, 0)</f>
        <v>0</v>
      </c>
      <c r="X52">
        <f>IF(AND((IF(OR(G52="B",G52="C",G52="D",G52="E"),1,0))=1,(IF(OR(H52="B",H52="C",H52="D",H52="E"),1,0))=1,I52=1),Points!D44, 0)</f>
        <v>0</v>
      </c>
      <c r="Y52">
        <f>IF(AND((IF(OR(G52="C",G52="D",G52="E"),1,0))=1,(IF(OR(H52="C",H52="D",H52="E"),1,0))=1,I52=1),Points!E44, 0)</f>
        <v>0</v>
      </c>
      <c r="Z52">
        <f>IF(AND((IF(OR(G52="D",G52="E"),1,0))=1,(IF(OR(H52="D",H52="E"),1,0))=1,I52=1),Points!F44, 0)</f>
        <v>0</v>
      </c>
      <c r="AA52">
        <f>IF(AND(G52="E", H52="E",I52=1,J52=1),Points!G44, 0)</f>
        <v>0</v>
      </c>
      <c r="AD52" t="s">
        <v>129</v>
      </c>
      <c r="AE52" t="s">
        <v>129</v>
      </c>
      <c r="AF52" t="s">
        <v>129</v>
      </c>
      <c r="AG52" t="s">
        <v>129</v>
      </c>
      <c r="AH52" t="s">
        <v>130</v>
      </c>
    </row>
    <row r="53" spans="3:34">
      <c r="C53" t="s">
        <v>73</v>
      </c>
      <c r="D53" s="5">
        <f t="shared" si="19"/>
        <v>0</v>
      </c>
      <c r="E53" s="3">
        <f>IF('Natural World'!$F100="Yes",1,2)</f>
        <v>2</v>
      </c>
      <c r="F53" s="3">
        <f>IF('Natural World'!$F100="No",3,0)</f>
        <v>0</v>
      </c>
      <c r="G53" s="3">
        <f>IF('Natural World'!$F102="Yes",1,2)</f>
        <v>2</v>
      </c>
      <c r="H53" s="3">
        <f>IF('Natural World'!$F103="Yes",1,2)</f>
        <v>2</v>
      </c>
      <c r="I53" s="3">
        <f>'Natural World'!E104</f>
        <v>2</v>
      </c>
      <c r="J53" s="3">
        <f>IF('Natural World'!$F106="Yes",1,2)</f>
        <v>2</v>
      </c>
      <c r="K53" s="13"/>
      <c r="L53" s="13"/>
      <c r="M53" s="13"/>
      <c r="N53" s="3">
        <f t="shared" si="24"/>
        <v>0</v>
      </c>
      <c r="O53" s="3">
        <f t="shared" si="25"/>
        <v>0</v>
      </c>
      <c r="Q53" t="str">
        <f t="shared" si="22"/>
        <v>Not Assessed</v>
      </c>
      <c r="R53" t="str">
        <f t="shared" si="23"/>
        <v>N</v>
      </c>
      <c r="S53">
        <f>IF(R53="Y", 0, Points!H45)</f>
        <v>12</v>
      </c>
      <c r="T53">
        <f>IF(Tabulations!E53=1, MAX(Tabulations!V53:AA53), 0)</f>
        <v>0</v>
      </c>
      <c r="W53">
        <f>IF(AND(G53=1,H53=1), Points!C45, 0)</f>
        <v>0</v>
      </c>
      <c r="X53">
        <f>IF(AND(H53=1,G53=1,IF(OR(I53="A",I53="B",I53="C"),1,0)=1), Points!D45, 0)</f>
        <v>0</v>
      </c>
      <c r="Y53">
        <f>IF(AND(H53=1,G53=1,IF(OR(I53="A",I53="B",I53="C"),1,0)=1,J53=1), Points!E45, 0)</f>
        <v>0</v>
      </c>
      <c r="Z53">
        <f>IF(OR(I53="B",I53="C"), Points!F45, 0)</f>
        <v>0</v>
      </c>
      <c r="AA53">
        <f>IF(I53="C", Points!G45, 0)</f>
        <v>0</v>
      </c>
      <c r="AD53" t="s">
        <v>128</v>
      </c>
      <c r="AE53" t="s">
        <v>129</v>
      </c>
      <c r="AF53" t="s">
        <v>130</v>
      </c>
      <c r="AG53" t="s">
        <v>107</v>
      </c>
      <c r="AH53" t="s">
        <v>107</v>
      </c>
    </row>
    <row r="54" spans="3:34">
      <c r="C54" t="s">
        <v>75</v>
      </c>
      <c r="D54" s="5">
        <f t="shared" si="19"/>
        <v>0</v>
      </c>
      <c r="E54" s="3">
        <f>IF('Natural World'!$F114="Yes",1,2)</f>
        <v>2</v>
      </c>
      <c r="F54" s="3">
        <f>IF('Natural World'!$F114="No",3,0)</f>
        <v>0</v>
      </c>
      <c r="G54" s="3">
        <f>IF('Natural World'!$F116="Yes",1,2)</f>
        <v>2</v>
      </c>
      <c r="H54" s="3">
        <f>IF('Natural World'!$F117="Yes",1,2)</f>
        <v>2</v>
      </c>
      <c r="I54" s="3">
        <f>IF('Natural World'!$F118="Yes",1,2)</f>
        <v>2</v>
      </c>
      <c r="J54" s="3">
        <f>IF('Natural World'!$F119="Yes",1,2)</f>
        <v>2</v>
      </c>
      <c r="K54" s="3">
        <f>IF('Natural World'!$F120="Yes",1,2)</f>
        <v>2</v>
      </c>
      <c r="L54" s="3">
        <f>IF('Natural World'!$F121="Yes",1,2)</f>
        <v>2</v>
      </c>
      <c r="M54" s="13"/>
      <c r="N54" s="3">
        <f t="shared" si="24"/>
        <v>0</v>
      </c>
      <c r="O54" s="3">
        <f t="shared" si="25"/>
        <v>0</v>
      </c>
      <c r="Q54" t="str">
        <f t="shared" si="22"/>
        <v>Not Assessed</v>
      </c>
      <c r="R54" t="str">
        <f t="shared" si="23"/>
        <v>N</v>
      </c>
      <c r="S54">
        <f>IF(R54="Y", 0, Points!H46)</f>
        <v>20</v>
      </c>
      <c r="T54">
        <f>IF(Tabulations!E54=1, MAX(Tabulations!V54:AA54), 0)</f>
        <v>0</v>
      </c>
      <c r="W54">
        <f>IF(AND(G54=1,H54=1), Points!C46, 0)</f>
        <v>0</v>
      </c>
      <c r="X54">
        <f>IF(AND(G54=1,H54=1,I54=1), Points!D46, 0)</f>
        <v>0</v>
      </c>
      <c r="Y54">
        <f>IF(AND(G54=1,H54=1,I54=1,J54=1), Points!E46, 0)</f>
        <v>0</v>
      </c>
      <c r="Z54">
        <f>IF(AND(G54=1,H54=1,I54=1,J54=1,K54=1), Points!F46, 0)</f>
        <v>0</v>
      </c>
      <c r="AA54">
        <f>IF(AND(G54=1,H54=1,I54=1,J54=1,K54=1,L54=1), Points!G46, 0)</f>
        <v>0</v>
      </c>
      <c r="AD54" t="s">
        <v>117</v>
      </c>
      <c r="AE54" t="s">
        <v>129</v>
      </c>
      <c r="AF54" t="s">
        <v>130</v>
      </c>
      <c r="AG54" t="s">
        <v>119</v>
      </c>
      <c r="AH54" t="s">
        <v>120</v>
      </c>
    </row>
    <row r="55" spans="3:34">
      <c r="C55" t="s">
        <v>78</v>
      </c>
      <c r="D55" s="5">
        <f t="shared" si="19"/>
        <v>0</v>
      </c>
      <c r="E55" s="3">
        <f>IF('Natural World'!$F131="Yes",1,2)</f>
        <v>2</v>
      </c>
      <c r="F55" s="3">
        <f>IF('Natural World'!$F131="No",3,0)</f>
        <v>0</v>
      </c>
      <c r="G55" s="3">
        <f>IF('Natural World'!$F133="Yes",1,2)</f>
        <v>2</v>
      </c>
      <c r="H55" s="3">
        <f>'Natural World'!E134</f>
        <v>2</v>
      </c>
      <c r="I55" s="3">
        <f>IF('Natural World'!$F136="Yes",1,0)</f>
        <v>0</v>
      </c>
      <c r="J55" s="3">
        <f>IF('Natural World'!$F137="Yes",1,0)</f>
        <v>0</v>
      </c>
      <c r="K55" s="3">
        <f>IF('Natural World'!$F138="Yes",1,0)</f>
        <v>0</v>
      </c>
      <c r="L55" s="3">
        <f>IF('Natural World'!$F139="Yes",1,0)</f>
        <v>0</v>
      </c>
      <c r="M55" s="13"/>
      <c r="N55" s="3">
        <f t="shared" si="24"/>
        <v>0</v>
      </c>
      <c r="O55" s="3">
        <f t="shared" si="25"/>
        <v>0</v>
      </c>
      <c r="Q55" t="str">
        <f t="shared" si="22"/>
        <v>Not Assessed</v>
      </c>
      <c r="R55" t="str">
        <f t="shared" si="23"/>
        <v>N</v>
      </c>
      <c r="S55">
        <f>IF(R55="Y", 0, Points!H47)</f>
        <v>18</v>
      </c>
      <c r="T55">
        <f>IF(Tabulations!E55=1, MAX(Tabulations!V55:AA55), 0)</f>
        <v>0</v>
      </c>
      <c r="W55">
        <f>IF(AND(G55=1,IF(OR(H55="A",H55="B"),1,0)=1),Points!C47,0)</f>
        <v>0</v>
      </c>
      <c r="X55">
        <f>IF(AND(G55=1,IF(OR(H55="A",H55="B"),1,0)=1,SUM(I55:K55)&gt;=1),Points!D47,0)</f>
        <v>0</v>
      </c>
      <c r="Y55">
        <f>IF(AND(G55=1,IF(OR(H55="A",H55="B"),1,0)=1,SUM(I55:K55)&gt;=2),Points!E47,0)</f>
        <v>0</v>
      </c>
      <c r="Z55">
        <f>IF(AND(G55=1,H55="B",SUM(I55:K55)=3),Points!F47,0)</f>
        <v>0</v>
      </c>
      <c r="AA55">
        <f>IF(AND(G55=1,H55="B",SUM(I55:L55)=4),Points!G47,0)</f>
        <v>0</v>
      </c>
      <c r="AD55" t="s">
        <v>117</v>
      </c>
      <c r="AE55" t="s">
        <v>144</v>
      </c>
      <c r="AF55" t="s">
        <v>144</v>
      </c>
      <c r="AG55" t="s">
        <v>119</v>
      </c>
      <c r="AH55" t="s">
        <v>120</v>
      </c>
    </row>
    <row r="56" spans="3:34">
      <c r="C56" t="s">
        <v>79</v>
      </c>
      <c r="D56" s="5">
        <f t="shared" si="19"/>
        <v>0</v>
      </c>
      <c r="E56" s="3">
        <f>IF('Natural World'!$F147="Yes",1,2)</f>
        <v>2</v>
      </c>
      <c r="F56" s="3">
        <f>IF('Natural World'!$F147="No",3,0)</f>
        <v>0</v>
      </c>
      <c r="G56" s="3">
        <f>IF('Natural World'!$F149="Yes",1,2)</f>
        <v>2</v>
      </c>
      <c r="H56" s="3">
        <f>'Natural World'!E150</f>
        <v>2</v>
      </c>
      <c r="I56" s="3">
        <f>IF('Natural World'!$F152="Yes",1,0)</f>
        <v>0</v>
      </c>
      <c r="J56" s="3">
        <f>IF('Natural World'!$F153="Yes",1,0)</f>
        <v>0</v>
      </c>
      <c r="K56" s="3">
        <f>IF('Natural World'!$F154="Yes",1,0)</f>
        <v>0</v>
      </c>
      <c r="L56" s="3">
        <f>IF('Natural World'!$F155="Yes",1,0)</f>
        <v>0</v>
      </c>
      <c r="M56" s="3">
        <f>IF('Natural World'!$F156="Yes",1,0)</f>
        <v>0</v>
      </c>
      <c r="N56" s="3">
        <f t="shared" si="24"/>
        <v>0</v>
      </c>
      <c r="O56" s="3">
        <f t="shared" si="25"/>
        <v>0</v>
      </c>
      <c r="Q56" t="str">
        <f t="shared" si="22"/>
        <v>Not Assessed</v>
      </c>
      <c r="R56" t="str">
        <f t="shared" si="23"/>
        <v>N</v>
      </c>
      <c r="S56">
        <f>IF(R56="Y", 0, Points!H48)</f>
        <v>20</v>
      </c>
      <c r="T56">
        <f>IF(Tabulations!E56=1, MAX(Tabulations!V56:AA56), 0)</f>
        <v>0</v>
      </c>
      <c r="W56">
        <f>IF(AND(G56=1,IF(OR(H56="A",H56="B"),1,0)=1,SUM(I56:L56)&gt;=1),Points!C48,0)</f>
        <v>0</v>
      </c>
      <c r="X56">
        <f>IF(AND(G56=1,IF(OR(H56="A",H56="B"),1,0)=1,SUM(I56:L56)&gt;=2),Points!D48,0)</f>
        <v>0</v>
      </c>
      <c r="Y56">
        <f>IF(AND(G56=1,IF(OR(H56="A",H56="B"),1,0)=1,SUM(I56:L56)&gt;=3),Points!E48,0)</f>
        <v>0</v>
      </c>
      <c r="Z56">
        <f>IF(AND(G56=1,H56="B",SUM(I56:L56)&gt;=4),Points!F48,0)</f>
        <v>0</v>
      </c>
      <c r="AA56">
        <f>IF(AND(G56=1,H56="B",SUM(I56:M56)=5),Points!G48,0)</f>
        <v>0</v>
      </c>
    </row>
    <row r="57" spans="3:34">
      <c r="C57" t="s">
        <v>80</v>
      </c>
      <c r="D57" s="5">
        <f t="shared" si="19"/>
        <v>0</v>
      </c>
      <c r="E57" s="3">
        <f>IF('Natural World'!$F164="Yes",1,2)</f>
        <v>2</v>
      </c>
      <c r="F57" s="3">
        <f>IF('Natural World'!$F164="No",3,0)</f>
        <v>0</v>
      </c>
      <c r="G57" s="3">
        <f>IF('Natural World'!$F166="Yes",1,2)</f>
        <v>2</v>
      </c>
      <c r="H57" s="3">
        <f>'Natural World'!E167</f>
        <v>2</v>
      </c>
      <c r="I57" s="3">
        <f>IF('Natural World'!$F169="Yes",1,2)</f>
        <v>2</v>
      </c>
      <c r="J57" s="3">
        <f>IF('Natural World'!$F170="Yes",1,2)</f>
        <v>2</v>
      </c>
      <c r="K57" s="3">
        <f>IF('Natural World'!$F171="Yes",1,2)</f>
        <v>2</v>
      </c>
      <c r="L57" s="13"/>
      <c r="M57" s="13"/>
      <c r="N57" s="3">
        <f t="shared" si="24"/>
        <v>0</v>
      </c>
      <c r="O57" s="3">
        <f t="shared" si="25"/>
        <v>0</v>
      </c>
      <c r="Q57" t="str">
        <f t="shared" si="22"/>
        <v>Not Assessed</v>
      </c>
      <c r="R57" t="str">
        <f t="shared" si="23"/>
        <v>N</v>
      </c>
      <c r="S57">
        <f>IF(R57="Y", 0, Points!H49)</f>
        <v>14</v>
      </c>
      <c r="T57">
        <f>IF(Tabulations!E57=1, MAX(Tabulations!V57:AA57), 0)</f>
        <v>0</v>
      </c>
      <c r="W57">
        <f>IF(AND(G57=1,IF(OR(H57="A",H57="B",H57="C",H57="D",H57="E"),1,0)=1),Points!C49,0)</f>
        <v>0</v>
      </c>
      <c r="X57">
        <f>IF(AND(G57=1,IF(OR(H57="B",H57="C",H57="D",H57="E"),1,0)=1,I57=1),Points!D49,0)</f>
        <v>0</v>
      </c>
      <c r="Y57">
        <f>IF(AND($G$57=1,IF(OR($H$57="C",$H$57="D",$H$57="E"),1,0)=1,$I$57=1),Points!E49,0)</f>
        <v>0</v>
      </c>
      <c r="Z57">
        <f>IF(J57=1,Points!F49,IF(AND($G$57=1,IF(OR($H$57="D",$H$57="E"),1,0)=1,$I$57=1),Points!F49,0))</f>
        <v>0</v>
      </c>
      <c r="AA57">
        <f>IF(AND(G57=1,H57="E",I57=1,K57=1),Points!G49,0)</f>
        <v>0</v>
      </c>
      <c r="AD57" t="s">
        <v>117</v>
      </c>
      <c r="AE57" t="s">
        <v>129</v>
      </c>
      <c r="AF57" t="s">
        <v>129</v>
      </c>
      <c r="AG57" t="s">
        <v>145</v>
      </c>
      <c r="AH57" t="s">
        <v>140</v>
      </c>
    </row>
    <row r="58" spans="3:34">
      <c r="C58" t="s">
        <v>81</v>
      </c>
      <c r="D58" s="5">
        <f t="shared" si="19"/>
        <v>0</v>
      </c>
      <c r="E58" s="3">
        <f>IF('Natural World'!$F179="Yes",1,2)</f>
        <v>2</v>
      </c>
      <c r="F58" s="3">
        <f>IF('Natural World'!$F179="No",3,0)</f>
        <v>0</v>
      </c>
      <c r="G58" s="3">
        <f>IF('Natural World'!$F181="Yes",1,2)</f>
        <v>2</v>
      </c>
      <c r="H58" s="3">
        <f>IF('Natural World'!$F182="Yes",1,2)</f>
        <v>2</v>
      </c>
      <c r="I58" s="3">
        <f>IF('Natural World'!$F183="Yes",1,2)</f>
        <v>2</v>
      </c>
      <c r="J58" s="3">
        <f>IF('Natural World'!$F184="Yes",1,2)</f>
        <v>2</v>
      </c>
      <c r="K58" s="3">
        <f>IF('Natural World'!$F185="Yes",1,2)</f>
        <v>2</v>
      </c>
      <c r="L58" s="3">
        <f>IF('Natural World'!$F186="Yes",1,2)</f>
        <v>2</v>
      </c>
      <c r="M58" s="13"/>
      <c r="N58" s="3">
        <f t="shared" si="24"/>
        <v>0</v>
      </c>
      <c r="O58" s="3">
        <f t="shared" si="25"/>
        <v>0</v>
      </c>
      <c r="Q58" t="str">
        <f t="shared" si="22"/>
        <v>Not Assessed</v>
      </c>
      <c r="R58" t="str">
        <f t="shared" si="23"/>
        <v>N</v>
      </c>
      <c r="S58">
        <f>IF(R58="Y", 0, Points!H50)</f>
        <v>12</v>
      </c>
      <c r="T58">
        <f>IF(Tabulations!E58=1, MAX(Tabulations!V58:AA58), 0)</f>
        <v>0</v>
      </c>
      <c r="W58">
        <f>IF(AND(G58=1), Points!C50, 0)</f>
        <v>0</v>
      </c>
      <c r="X58">
        <f>IF(AND(H58=1,G58=1), Points!D50, 0)</f>
        <v>0</v>
      </c>
      <c r="Y58">
        <f>IF(AND(I58=1,H58=1,G58=1), Points!E50, 0)</f>
        <v>0</v>
      </c>
      <c r="Z58">
        <f>IF(AND(J58=1,I58=1,H58=1,G58=1,K58=1), Points!F50, 0)</f>
        <v>0</v>
      </c>
      <c r="AA58">
        <f>IF(AND(K58=1,J58=1,I58=1,H58=1,L58=1,G58=1), Points!G50, 0)</f>
        <v>0</v>
      </c>
      <c r="AD58" t="s">
        <v>105</v>
      </c>
      <c r="AE58" t="s">
        <v>128</v>
      </c>
      <c r="AF58" t="s">
        <v>129</v>
      </c>
      <c r="AG58" t="s">
        <v>119</v>
      </c>
      <c r="AH58" t="s">
        <v>120</v>
      </c>
    </row>
    <row r="59" spans="3:34">
      <c r="C59" t="s">
        <v>82</v>
      </c>
      <c r="D59" s="5">
        <f t="shared" si="19"/>
        <v>0</v>
      </c>
      <c r="E59" s="3">
        <f>IF('Natural World'!$F194="Yes",1,2)</f>
        <v>2</v>
      </c>
      <c r="F59" s="3">
        <f>IF('Natural World'!$F194="No",3,0)</f>
        <v>0</v>
      </c>
      <c r="G59" s="3">
        <f>IF('Natural World'!$F196="Yes",1,2)</f>
        <v>2</v>
      </c>
      <c r="H59" s="3">
        <f>IF('Natural World'!$F197="Yes",1,2)</f>
        <v>2</v>
      </c>
      <c r="I59" s="3">
        <f>'Natural World'!E198</f>
        <v>2</v>
      </c>
      <c r="J59" s="3">
        <f>IF('Natural World'!$F200="Yes",1,2)</f>
        <v>2</v>
      </c>
      <c r="K59" s="13"/>
      <c r="L59" s="13"/>
      <c r="M59" s="13"/>
      <c r="N59" s="3">
        <f t="shared" si="24"/>
        <v>0</v>
      </c>
      <c r="O59" s="3">
        <f t="shared" si="25"/>
        <v>0</v>
      </c>
      <c r="Q59" t="str">
        <f t="shared" si="22"/>
        <v>Not Assessed</v>
      </c>
      <c r="R59" t="str">
        <f t="shared" si="23"/>
        <v>N</v>
      </c>
      <c r="S59">
        <f>IF(R59="Y", 0, Points!H51)</f>
        <v>8</v>
      </c>
      <c r="T59">
        <f>IF(Tabulations!E59=1, MAX(Tabulations!V59:AA59), 0)</f>
        <v>0</v>
      </c>
      <c r="X59">
        <f>IF(AND(H59=1,G59=1), Points!D51, 0)</f>
        <v>0</v>
      </c>
      <c r="Y59">
        <f>IF(AND(IF(OR(I59="A",I59="B"),1,0)=1,H59=1,G59=1), Points!E51, 0)</f>
        <v>0</v>
      </c>
      <c r="Z59">
        <f>IF(AND(I59="B",H59=1,G59=1), Points!F51, 0)</f>
        <v>0</v>
      </c>
      <c r="AA59">
        <f>IF(AND(J59=1,I59="B",H59=1,G59=1), Points!G51, 0)</f>
        <v>0</v>
      </c>
      <c r="AE59" t="s">
        <v>128</v>
      </c>
      <c r="AF59" t="s">
        <v>129</v>
      </c>
      <c r="AG59" t="s">
        <v>118</v>
      </c>
      <c r="AH59" t="s">
        <v>118</v>
      </c>
    </row>
    <row r="61" spans="3:34" ht="81.75">
      <c r="C61" s="16"/>
      <c r="D61" s="17"/>
      <c r="E61" s="18" t="s">
        <v>103</v>
      </c>
      <c r="F61" s="18" t="s">
        <v>104</v>
      </c>
      <c r="G61" s="18" t="s">
        <v>105</v>
      </c>
      <c r="H61" s="18" t="s">
        <v>106</v>
      </c>
      <c r="I61" s="18" t="s">
        <v>107</v>
      </c>
      <c r="J61" s="18" t="s">
        <v>108</v>
      </c>
      <c r="K61" s="18" t="s">
        <v>109</v>
      </c>
      <c r="L61" s="18" t="s">
        <v>110</v>
      </c>
      <c r="M61" s="18" t="s">
        <v>111</v>
      </c>
      <c r="N61" s="18" t="s">
        <v>6</v>
      </c>
      <c r="O61" s="18" t="s">
        <v>7</v>
      </c>
      <c r="P61" s="18"/>
      <c r="Q61" s="19" t="s">
        <v>112</v>
      </c>
      <c r="R61" s="19" t="s">
        <v>113</v>
      </c>
      <c r="S61" s="19" t="s">
        <v>114</v>
      </c>
      <c r="T61" s="19" t="s">
        <v>115</v>
      </c>
      <c r="U61" s="19"/>
      <c r="V61" s="19" t="s">
        <v>116</v>
      </c>
      <c r="W61" s="19" t="s">
        <v>8</v>
      </c>
      <c r="X61" s="19" t="s">
        <v>9</v>
      </c>
      <c r="Y61" s="19" t="s">
        <v>10</v>
      </c>
      <c r="Z61" s="19" t="s">
        <v>11</v>
      </c>
      <c r="AA61" s="19" t="s">
        <v>12</v>
      </c>
      <c r="AB61" s="19"/>
      <c r="AC61" s="19"/>
      <c r="AD61" s="18" t="s">
        <v>8</v>
      </c>
      <c r="AE61" s="18" t="s">
        <v>9</v>
      </c>
      <c r="AF61" s="18" t="s">
        <v>10</v>
      </c>
      <c r="AG61" s="18" t="s">
        <v>11</v>
      </c>
      <c r="AH61" s="18" t="s">
        <v>12</v>
      </c>
    </row>
    <row r="62" spans="3:34">
      <c r="C62" t="s">
        <v>84</v>
      </c>
      <c r="D62" s="5">
        <f t="shared" ref="D62:D70" si="26">SUM(N62:O62)</f>
        <v>0</v>
      </c>
      <c r="E62" s="3">
        <f>IF('Climate And Resilience'!$F10="Yes",1,2)</f>
        <v>2</v>
      </c>
      <c r="F62" s="3">
        <f>IF('Climate And Resilience'!$F10="No",3,0)</f>
        <v>0</v>
      </c>
      <c r="G62" s="3">
        <f>IF('Climate And Resilience'!$F12="Yes",1,2)</f>
        <v>2</v>
      </c>
      <c r="H62" s="3">
        <f>IF('Climate And Resilience'!$F13="Yes",1,2)</f>
        <v>2</v>
      </c>
      <c r="I62" s="3">
        <f>'Climate And Resilience'!E14</f>
        <v>2</v>
      </c>
      <c r="J62" s="13"/>
      <c r="K62" s="13"/>
      <c r="L62" s="13"/>
      <c r="M62" s="13"/>
      <c r="N62" s="3">
        <f t="shared" ref="N62" si="27">IF(OR(F62=3,E62=2),0, COUNTIF(G62:M62, 1)+COUNTIF(G62:M62, "A")+ COUNTIF(G62:M62, "B")+ COUNTIF(G62:M62, "C")+ COUNTIF(G62:M62, "D")+ COUNTIF(G62:M62, "E"))</f>
        <v>0</v>
      </c>
      <c r="O62" s="3">
        <f t="shared" ref="O62" si="28">IF(OR(F62=3,E62=2),0,COUNTIF(G62:M62, 2)+COUNTIF(G62:M62, 0))</f>
        <v>0</v>
      </c>
      <c r="Q62" t="str">
        <f t="shared" ref="Q62:Q70" si="29">IF(R62="Y","Not Applicable",IF(E62=1,"Assessed","Not Assessed"))</f>
        <v>Not Assessed</v>
      </c>
      <c r="R62" t="str">
        <f t="shared" ref="R62:R70" si="30">IF(F62=3, "Y", "N")</f>
        <v>N</v>
      </c>
      <c r="S62">
        <f>IF(R62="Y", 0, Points!H52)</f>
        <v>20</v>
      </c>
      <c r="T62">
        <f>IF(Tabulations!E62=1, MAX(Tabulations!V62:AA62), 0)</f>
        <v>0</v>
      </c>
      <c r="W62">
        <f>IF(AND($G62=1,$H62=1,$I62="A"), Points!C52, 0)</f>
        <v>0</v>
      </c>
      <c r="X62">
        <f>IF(AND($G62=1,$H62=1,$I62="B"), Points!D52, 0)</f>
        <v>0</v>
      </c>
      <c r="Y62">
        <f>IF(AND($G62=1,$H62=1,$I62="C"), Points!E52, 0)</f>
        <v>0</v>
      </c>
      <c r="Z62">
        <f>IF(AND($G62=1,$H62=1,$I62="D"), Points!F52, 0)</f>
        <v>0</v>
      </c>
      <c r="AD62" t="s">
        <v>129</v>
      </c>
      <c r="AE62" t="s">
        <v>129</v>
      </c>
      <c r="AF62" t="s">
        <v>129</v>
      </c>
      <c r="AG62" t="s">
        <v>129</v>
      </c>
    </row>
    <row r="63" spans="3:34">
      <c r="C63" t="s">
        <v>85</v>
      </c>
      <c r="D63" s="5">
        <f t="shared" si="26"/>
        <v>0</v>
      </c>
      <c r="E63" s="3">
        <f>IF('Climate And Resilience'!$F23="Yes",1,2)</f>
        <v>2</v>
      </c>
      <c r="F63" s="3">
        <f>IF('Climate And Resilience'!$F23="No",3,0)</f>
        <v>0</v>
      </c>
      <c r="G63" s="3">
        <f>'Climate And Resilience'!E25</f>
        <v>2</v>
      </c>
      <c r="H63" s="3">
        <f>IF('Climate And Resilience'!$F27="Yes",1,2)</f>
        <v>2</v>
      </c>
      <c r="I63" s="13"/>
      <c r="J63" s="13"/>
      <c r="K63" s="13"/>
      <c r="L63" s="13"/>
      <c r="M63" s="13"/>
      <c r="N63" s="3">
        <f t="shared" ref="N63:N70" si="31">IF(OR(F63=3,E63=2),0, COUNTIF(G63:M63, 1)+COUNTIF(G63:M63, "A")+ COUNTIF(G63:M63, "B")+ COUNTIF(G63:M63, "C")+ COUNTIF(G63:M63, "D")+ COUNTIF(G63:M63, "E"))</f>
        <v>0</v>
      </c>
      <c r="O63" s="3">
        <f t="shared" ref="O63:O70" si="32">IF(OR(F63=3,E63=2),0,COUNTIF(G63:M63, 2)+COUNTIF(G63:M63, 0))</f>
        <v>0</v>
      </c>
      <c r="Q63" t="str">
        <f t="shared" si="29"/>
        <v>Not Assessed</v>
      </c>
      <c r="R63" t="str">
        <f t="shared" si="30"/>
        <v>N</v>
      </c>
      <c r="S63">
        <f>IF(R63="Y", 0, Points!H53)</f>
        <v>26</v>
      </c>
      <c r="T63">
        <f>IF(Tabulations!E63=1, MAX(Tabulations!V63:AA63), 0)</f>
        <v>0</v>
      </c>
      <c r="W63">
        <f>IF(AND($H63=1,$G63="A"), Points!C53, 0)</f>
        <v>0</v>
      </c>
      <c r="X63">
        <f>IF(AND($H63=1,$G63="B"), Points!D53, 0)</f>
        <v>0</v>
      </c>
      <c r="Y63">
        <f>IF(AND($H63=1,$G63="C"), Points!E53, 0)</f>
        <v>0</v>
      </c>
      <c r="Z63">
        <f>IF(AND($H63=1,$G63="D"), Points!F53, 0)</f>
        <v>0</v>
      </c>
      <c r="AA63">
        <f>IF(AND($H63=1,$G63="E"), Points!G53, 0)</f>
        <v>0</v>
      </c>
      <c r="AD63" t="s">
        <v>128</v>
      </c>
      <c r="AE63" t="s">
        <v>128</v>
      </c>
      <c r="AF63" t="s">
        <v>128</v>
      </c>
      <c r="AG63" t="s">
        <v>128</v>
      </c>
      <c r="AH63" t="s">
        <v>128</v>
      </c>
    </row>
    <row r="64" spans="3:34">
      <c r="C64" t="s">
        <v>86</v>
      </c>
      <c r="D64" s="5">
        <f t="shared" si="26"/>
        <v>0</v>
      </c>
      <c r="E64" s="3">
        <f>IF('Climate And Resilience'!$F35="Yes",1,2)</f>
        <v>2</v>
      </c>
      <c r="F64" s="3">
        <f>IF('Climate And Resilience'!$F35="No",3,0)</f>
        <v>0</v>
      </c>
      <c r="G64" s="3">
        <f>IF('Climate And Resilience'!$F37="Yes",1,2)</f>
        <v>2</v>
      </c>
      <c r="H64" s="3">
        <f>'Climate And Resilience'!E38</f>
        <v>2</v>
      </c>
      <c r="I64" s="3">
        <f>IF('Climate And Resilience'!$F40="Yes",1,2)</f>
        <v>2</v>
      </c>
      <c r="J64" s="3">
        <f>IF('Climate And Resilience'!$F41="Yes",1,2)</f>
        <v>2</v>
      </c>
      <c r="K64" s="3">
        <f>IF('Climate And Resilience'!$F42="Yes",1,2)</f>
        <v>2</v>
      </c>
      <c r="L64" s="13"/>
      <c r="M64" s="13"/>
      <c r="N64" s="3">
        <f t="shared" si="31"/>
        <v>0</v>
      </c>
      <c r="O64" s="3">
        <f t="shared" si="32"/>
        <v>0</v>
      </c>
      <c r="Q64" t="str">
        <f t="shared" si="29"/>
        <v>Not Assessed</v>
      </c>
      <c r="R64" t="str">
        <f t="shared" si="30"/>
        <v>N</v>
      </c>
      <c r="S64">
        <f>IF(R64="Y", 0, Points!H54)</f>
        <v>18</v>
      </c>
      <c r="T64">
        <f>IF(Tabulations!E64=1, MAX(Tabulations!V64:AA64), 0)</f>
        <v>0</v>
      </c>
      <c r="W64">
        <f>IF(AND($G64=1,IF(OR($H64="A",$H64="B",$H64="C",$H64="D"),1,0)=1), Points!C54, 0)</f>
        <v>0</v>
      </c>
      <c r="X64">
        <f>IF(AND($G64=1,IF(OR($H64="B",$H64="C",$H64="D"),1,0)=1,$I64=1), Points!D54, 0)</f>
        <v>0</v>
      </c>
      <c r="Y64">
        <f>IF(AND($G64=1,$H64="C",$I64=1,$J64=1), Points!E54, 0)</f>
        <v>0</v>
      </c>
      <c r="Z64">
        <f>IF(AND($G64=1,$H64="D",$I64=1,$J64=1), Points!F54, 0)</f>
        <v>0</v>
      </c>
      <c r="AA64">
        <f>IF(AND($G64=1,$H64="D",$I64=1,$J64=1,K64=1), Points!G54, 0)</f>
        <v>0</v>
      </c>
      <c r="AD64" t="s">
        <v>128</v>
      </c>
      <c r="AE64" t="s">
        <v>129</v>
      </c>
      <c r="AF64" t="s">
        <v>118</v>
      </c>
      <c r="AG64" t="s">
        <v>118</v>
      </c>
      <c r="AH64" t="s">
        <v>119</v>
      </c>
    </row>
    <row r="65" spans="3:34">
      <c r="C65" t="s">
        <v>88</v>
      </c>
      <c r="D65" s="5">
        <f t="shared" si="26"/>
        <v>0</v>
      </c>
      <c r="E65" s="3">
        <f>IF('Climate And Resilience'!$F51="Yes",1,2)</f>
        <v>2</v>
      </c>
      <c r="F65" s="3">
        <f>IF('Climate And Resilience'!$F51="No",3,0)</f>
        <v>0</v>
      </c>
      <c r="G65" s="3">
        <f>IF('Climate And Resilience'!$F53="Yes",1,2)</f>
        <v>2</v>
      </c>
      <c r="H65" s="3">
        <f>IF('Climate And Resilience'!$F54="Yes",1,2)</f>
        <v>2</v>
      </c>
      <c r="I65" s="3">
        <f>IF('Climate And Resilience'!$F55="Yes",1,2)</f>
        <v>2</v>
      </c>
      <c r="J65" s="3">
        <f>IF('Climate And Resilience'!$F56="Yes",1,2)</f>
        <v>2</v>
      </c>
      <c r="K65" s="3">
        <f>IF('Climate And Resilience'!$F57="Yes",1,2)</f>
        <v>2</v>
      </c>
      <c r="L65" s="3">
        <f>IF('Climate And Resilience'!$F58="Yes",1,2)</f>
        <v>2</v>
      </c>
      <c r="M65" s="13"/>
      <c r="N65" s="3">
        <f t="shared" si="31"/>
        <v>0</v>
      </c>
      <c r="O65" s="3">
        <f t="shared" si="32"/>
        <v>0</v>
      </c>
      <c r="Q65" t="str">
        <f t="shared" si="29"/>
        <v>Not Assessed</v>
      </c>
      <c r="R65" t="str">
        <f t="shared" si="30"/>
        <v>N</v>
      </c>
      <c r="S65">
        <f>IF(R65="Y", 0, Points!H55)</f>
        <v>16</v>
      </c>
      <c r="T65">
        <f>IF(Tabulations!E65=1, MAX(Tabulations!V65:AA65), 0)</f>
        <v>0</v>
      </c>
      <c r="W65">
        <f>IF(AND($G65=1,$H65=1), Points!C55, 0)</f>
        <v>0</v>
      </c>
      <c r="X65">
        <f>IF(AND($G65=1,$H65=1,$I65=1), Points!D55, 0)</f>
        <v>0</v>
      </c>
      <c r="Y65">
        <f>IF(AND($G65=1,$H65=1,$I65=1,$J65=1), Points!E55, 0)</f>
        <v>0</v>
      </c>
      <c r="Z65">
        <f>IF(AND($G65=1,$H65=1,$I65=1,$K65=1), Points!F55, 0)</f>
        <v>0</v>
      </c>
      <c r="AA65">
        <f>IF(AND($G65=1,$H65=1,$I65=1,$L65=1), Points!G55, 0)</f>
        <v>0</v>
      </c>
      <c r="AD65" t="s">
        <v>146</v>
      </c>
      <c r="AE65" t="s">
        <v>147</v>
      </c>
      <c r="AF65" t="s">
        <v>148</v>
      </c>
      <c r="AG65" t="s">
        <v>149</v>
      </c>
      <c r="AH65" t="s">
        <v>150</v>
      </c>
    </row>
    <row r="66" spans="3:34">
      <c r="C66" t="s">
        <v>89</v>
      </c>
      <c r="D66" s="5">
        <f t="shared" si="26"/>
        <v>0</v>
      </c>
      <c r="E66" s="3">
        <f>IF('Climate And Resilience'!$F66="Yes",1,2)</f>
        <v>2</v>
      </c>
      <c r="F66" s="3">
        <f>IF('Climate And Resilience'!$F66="No",3,0)</f>
        <v>0</v>
      </c>
      <c r="G66" s="3">
        <f>IF('Climate And Resilience'!$F68="Yes",1,2)</f>
        <v>2</v>
      </c>
      <c r="H66" s="3">
        <f>IF('Climate And Resilience'!$F69="Yes",1,2)</f>
        <v>2</v>
      </c>
      <c r="I66" s="3">
        <f>IF('Climate And Resilience'!$F70="Yes",1,2)</f>
        <v>2</v>
      </c>
      <c r="J66" s="3">
        <f>IF('Climate And Resilience'!$F71="Yes",1,2)</f>
        <v>2</v>
      </c>
      <c r="K66" s="3">
        <f>IF('Climate And Resilience'!$F72="Yes",1,2)</f>
        <v>2</v>
      </c>
      <c r="L66" s="13"/>
      <c r="M66" s="13"/>
      <c r="N66" s="3">
        <f t="shared" si="31"/>
        <v>0</v>
      </c>
      <c r="O66" s="3">
        <f t="shared" si="32"/>
        <v>0</v>
      </c>
      <c r="Q66" t="str">
        <f t="shared" si="29"/>
        <v>Not Assessed</v>
      </c>
      <c r="R66" t="str">
        <f t="shared" si="30"/>
        <v>N</v>
      </c>
      <c r="S66">
        <f>IF(R66="Y", 0, Points!H56)</f>
        <v>20</v>
      </c>
      <c r="T66">
        <f>IF(Tabulations!E66=1, MAX(Tabulations!V66:AA66), 0)</f>
        <v>0</v>
      </c>
      <c r="W66">
        <f>IF(AND($G66=1,$H66=1), Points!C56, 0)</f>
        <v>0</v>
      </c>
      <c r="X66">
        <f>IF(AND($G66=1,$H66=1,$I66=1), Points!D56, 0)</f>
        <v>0</v>
      </c>
      <c r="Y66">
        <f>IF(AND($G66=1,$H66=1,$I66=1,$J66=1), Points!E56, 0)</f>
        <v>0</v>
      </c>
      <c r="Z66">
        <f>IF(AND($G66=1,$H66=1,$I66=1,$J66=1,K66=1), Points!F56, 0)</f>
        <v>0</v>
      </c>
      <c r="AA66">
        <f>IF(AND($G66=1,$H66=1,$I66=1,$L66=1), Points!G56, 0)</f>
        <v>0</v>
      </c>
      <c r="AD66" t="s">
        <v>146</v>
      </c>
      <c r="AE66" t="s">
        <v>147</v>
      </c>
      <c r="AF66" t="s">
        <v>148</v>
      </c>
      <c r="AG66" t="s">
        <v>151</v>
      </c>
    </row>
    <row r="67" spans="3:34">
      <c r="C67" t="s">
        <v>91</v>
      </c>
      <c r="D67" s="5">
        <f t="shared" si="26"/>
        <v>0</v>
      </c>
      <c r="E67" s="3">
        <f>IF('Climate And Resilience'!$F81="Yes",1,2)</f>
        <v>2</v>
      </c>
      <c r="F67" s="3">
        <f>IF('Climate And Resilience'!$F81="No",3,0)</f>
        <v>0</v>
      </c>
      <c r="G67" s="3">
        <f>'Climate And Resilience'!E83</f>
        <v>2</v>
      </c>
      <c r="H67" s="3">
        <f>IF('Climate And Resilience'!$F85="Yes",1,2)</f>
        <v>2</v>
      </c>
      <c r="I67" s="3">
        <f>IF('Climate And Resilience'!$F86="Yes",1,2)</f>
        <v>2</v>
      </c>
      <c r="J67" s="3">
        <f>IF('Climate And Resilience'!$F87="Yes",1,2)</f>
        <v>2</v>
      </c>
      <c r="K67" s="3">
        <f>IF('Climate And Resilience'!$F88="Yes",1,2)</f>
        <v>2</v>
      </c>
      <c r="L67" s="3">
        <f>IF('Climate And Resilience'!$F89="Yes",1,2)</f>
        <v>2</v>
      </c>
      <c r="M67" s="13"/>
      <c r="N67" s="3">
        <f t="shared" si="31"/>
        <v>0</v>
      </c>
      <c r="O67" s="3">
        <f t="shared" si="32"/>
        <v>0</v>
      </c>
      <c r="Q67" t="str">
        <f t="shared" si="29"/>
        <v>Not Assessed</v>
      </c>
      <c r="R67" t="str">
        <f t="shared" si="30"/>
        <v>N</v>
      </c>
      <c r="S67">
        <f>IF(R67="Y", 0, Points!H57)</f>
        <v>26</v>
      </c>
      <c r="T67">
        <f>IF(Tabulations!E67=1, MAX(Tabulations!V67:AA67), 0)</f>
        <v>0</v>
      </c>
      <c r="W67">
        <f>IF(AND($H67=1,$G67="A",$I67=1,$J67=1,$K67=1), Points!C57, 0)</f>
        <v>0</v>
      </c>
      <c r="X67">
        <f>IF(AND($H67=1,$G67="B",$I67=1,$J67=1,$K67=1), Points!D57, 0)</f>
        <v>0</v>
      </c>
      <c r="Y67">
        <f>IF(AND($H67=1,$G67="C",$I67=1,$J67=1,$K67=1), Points!E57, 0)</f>
        <v>0</v>
      </c>
      <c r="Z67">
        <f>IF(AND($H67=1,$G67="C",$I67=1,$J67=1,$K67=1,L67=1), Points!F57, 0)</f>
        <v>0</v>
      </c>
      <c r="AA67">
        <f>IF(AND($G67=1,$H67=1,$I67=1,$L67=1), Points!G57, 0)</f>
        <v>0</v>
      </c>
      <c r="AD67" t="s">
        <v>151</v>
      </c>
      <c r="AE67" t="s">
        <v>151</v>
      </c>
      <c r="AF67" t="s">
        <v>151</v>
      </c>
      <c r="AG67" t="s">
        <v>152</v>
      </c>
    </row>
    <row r="68" spans="3:34">
      <c r="C68" t="s">
        <v>93</v>
      </c>
      <c r="D68" s="5">
        <f t="shared" si="26"/>
        <v>0</v>
      </c>
      <c r="E68" s="3">
        <f>IF('Climate And Resilience'!$F97="Yes",1,2)</f>
        <v>2</v>
      </c>
      <c r="F68" s="3">
        <f>IF('Climate And Resilience'!$F97="No",3,0)</f>
        <v>0</v>
      </c>
      <c r="G68" s="3">
        <f>IF('Climate And Resilience'!$F99="Yes",1,2)</f>
        <v>2</v>
      </c>
      <c r="H68" s="3">
        <f>IF('Climate And Resilience'!$F100="Yes",1,2)</f>
        <v>2</v>
      </c>
      <c r="I68" s="3">
        <f>IF('Climate And Resilience'!$F101="Yes",1,2)</f>
        <v>2</v>
      </c>
      <c r="J68" s="3">
        <f>IF('Climate And Resilience'!$F102="Yes",1,2)</f>
        <v>2</v>
      </c>
      <c r="K68" s="13"/>
      <c r="L68" s="13"/>
      <c r="M68" s="13"/>
      <c r="N68" s="3">
        <f t="shared" si="31"/>
        <v>0</v>
      </c>
      <c r="O68" s="3">
        <f t="shared" si="32"/>
        <v>0</v>
      </c>
      <c r="Q68" t="str">
        <f t="shared" si="29"/>
        <v>Not Assessed</v>
      </c>
      <c r="R68" t="str">
        <f t="shared" si="30"/>
        <v>N</v>
      </c>
      <c r="S68">
        <f>IF(R68="Y", 0, Points!H58)</f>
        <v>20</v>
      </c>
      <c r="T68">
        <f>IF(Tabulations!E68=1, MAX(Tabulations!V68:AA68), 0)</f>
        <v>0</v>
      </c>
      <c r="X68">
        <f>IF(AND($G68=1,$H68=1), Points!D58, 0)</f>
        <v>0</v>
      </c>
      <c r="Y68">
        <f>IF(AND($G68=1,$H68=1,$I68=1), Points!E58, 0)</f>
        <v>0</v>
      </c>
      <c r="Z68">
        <f>IF(AND($G68=1,$H68=1,$I68=1,J68=1), Points!F58, 0)</f>
        <v>0</v>
      </c>
      <c r="AE68" t="s">
        <v>146</v>
      </c>
      <c r="AF68" t="s">
        <v>147</v>
      </c>
      <c r="AG68" t="s">
        <v>148</v>
      </c>
    </row>
    <row r="69" spans="3:34">
      <c r="C69" t="s">
        <v>94</v>
      </c>
      <c r="D69" s="5">
        <f t="shared" si="26"/>
        <v>0</v>
      </c>
      <c r="E69" s="3">
        <f>IF('Climate And Resilience'!$F110="Yes",1,2)</f>
        <v>2</v>
      </c>
      <c r="F69" s="3">
        <f>IF('Climate And Resilience'!$F110="No",3,0)</f>
        <v>0</v>
      </c>
      <c r="G69" s="3">
        <f>IF('Climate And Resilience'!$F112="Yes",1,2)</f>
        <v>2</v>
      </c>
      <c r="H69" s="3">
        <f>IF('Climate And Resilience'!$F113="Yes",1,2)</f>
        <v>2</v>
      </c>
      <c r="I69" s="3">
        <f>IF('Climate And Resilience'!$F114="Yes",1,2)</f>
        <v>2</v>
      </c>
      <c r="J69" s="3">
        <f>IF('Climate And Resilience'!$F115="Yes",1,2)</f>
        <v>2</v>
      </c>
      <c r="K69" s="3">
        <f>IF('Climate And Resilience'!$F116="Yes",1,2)</f>
        <v>2</v>
      </c>
      <c r="L69" s="13"/>
      <c r="M69" s="13"/>
      <c r="N69" s="3">
        <f t="shared" si="31"/>
        <v>0</v>
      </c>
      <c r="O69" s="3">
        <f t="shared" si="32"/>
        <v>0</v>
      </c>
      <c r="Q69" t="str">
        <f t="shared" si="29"/>
        <v>Not Assessed</v>
      </c>
      <c r="R69" t="str">
        <f t="shared" si="30"/>
        <v>N</v>
      </c>
      <c r="S69">
        <f>IF(R69="Y", 0, Points!H59)</f>
        <v>26</v>
      </c>
      <c r="T69">
        <f>IF(Tabulations!E69=1, MAX(Tabulations!V69:AA69), 0)</f>
        <v>0</v>
      </c>
      <c r="W69">
        <f>IF(AND($G69=1,$H69=1), Points!C59, 0)</f>
        <v>0</v>
      </c>
      <c r="X69">
        <f>IF(AND($G69=1,$H69=1,$I69=1), Points!D59, 0)</f>
        <v>0</v>
      </c>
      <c r="Y69">
        <f>IF(AND($G69=1,$H69=1,$I69=1,$J69=1), Points!E59, 0)</f>
        <v>0</v>
      </c>
      <c r="Z69">
        <f>IF(AND($G69=1,$H69=1,$I69=1,$J69=1,K69=1), Points!F59, 0)</f>
        <v>0</v>
      </c>
      <c r="AD69" t="s">
        <v>146</v>
      </c>
      <c r="AE69" t="s">
        <v>147</v>
      </c>
      <c r="AF69" t="s">
        <v>148</v>
      </c>
      <c r="AG69" t="s">
        <v>151</v>
      </c>
    </row>
    <row r="70" spans="3:34">
      <c r="C70" t="s">
        <v>95</v>
      </c>
      <c r="D70" s="5">
        <f t="shared" si="26"/>
        <v>0</v>
      </c>
      <c r="E70" s="3">
        <f>IF('Climate And Resilience'!$F125="Yes",1,2)</f>
        <v>2</v>
      </c>
      <c r="F70" s="3">
        <f>IF('Climate And Resilience'!$F125="No",3,0)</f>
        <v>0</v>
      </c>
      <c r="G70" s="3">
        <f>IF('Climate And Resilience'!$F127="Yes",1,2)</f>
        <v>2</v>
      </c>
      <c r="H70" s="3">
        <f>IF('Climate And Resilience'!$F128="Yes",1,2)</f>
        <v>2</v>
      </c>
      <c r="I70" s="3">
        <f>IF('Climate And Resilience'!$F129="Yes",1,2)</f>
        <v>2</v>
      </c>
      <c r="J70" s="3">
        <f>IF('Climate And Resilience'!$F130="Yes",1,2)</f>
        <v>2</v>
      </c>
      <c r="K70" s="3">
        <f>IF('Climate And Resilience'!$F131="Yes",1,2)</f>
        <v>2</v>
      </c>
      <c r="L70" s="13"/>
      <c r="M70" s="13"/>
      <c r="N70" s="3">
        <f t="shared" si="31"/>
        <v>0</v>
      </c>
      <c r="O70" s="3">
        <f t="shared" si="32"/>
        <v>0</v>
      </c>
      <c r="Q70" t="str">
        <f t="shared" si="29"/>
        <v>Not Assessed</v>
      </c>
      <c r="R70" t="str">
        <f t="shared" si="30"/>
        <v>N</v>
      </c>
      <c r="S70">
        <f>IF(R70="Y", 0, Points!H60)</f>
        <v>18</v>
      </c>
      <c r="T70">
        <f>IF(Tabulations!E70=1, MAX(Tabulations!V70:AA70), 0)</f>
        <v>0</v>
      </c>
      <c r="W70">
        <f>IF(AND($G70=1), Points!C60, 0)</f>
        <v>0</v>
      </c>
      <c r="X70">
        <f>IF(AND($G70=1,$H70=1), Points!D60, 0)</f>
        <v>0</v>
      </c>
      <c r="Y70">
        <f>IF(AND($G70=1,$H70=1,$I70=1), Points!E60, 0)</f>
        <v>0</v>
      </c>
      <c r="Z70">
        <f>IF(AND($G70=1,$H70=1,$I70=1,$J70=1), Points!F60, 0)</f>
        <v>0</v>
      </c>
      <c r="AA70">
        <f>IF(AND($G70=1,$H70=1,$I70=1,$J70=1,K70=1), Points!G60, 0)</f>
        <v>0</v>
      </c>
      <c r="AD70" t="s">
        <v>105</v>
      </c>
      <c r="AE70" t="s">
        <v>146</v>
      </c>
      <c r="AF70" t="s">
        <v>147</v>
      </c>
      <c r="AG70" t="s">
        <v>148</v>
      </c>
      <c r="AH70" t="s">
        <v>151</v>
      </c>
    </row>
    <row r="73" spans="3:34">
      <c r="C73">
        <f>COUNTA(C62:C70,C47:C59,C32:C44,C19:C29,C4:C16)</f>
        <v>59</v>
      </c>
    </row>
    <row r="75" spans="3:34">
      <c r="C75" t="s">
        <v>153</v>
      </c>
      <c r="D75" s="5">
        <v>0.2</v>
      </c>
    </row>
    <row r="76" spans="3:34">
      <c r="C76" t="s">
        <v>154</v>
      </c>
      <c r="D76" s="5">
        <v>0.3</v>
      </c>
    </row>
    <row r="77" spans="3:34">
      <c r="C77" t="s">
        <v>155</v>
      </c>
      <c r="D77" s="5">
        <v>0.4</v>
      </c>
    </row>
    <row r="78" spans="3:34">
      <c r="C78" t="s">
        <v>156</v>
      </c>
      <c r="D78" s="5">
        <v>0.5</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671B"/>
  </sheetPr>
  <dimension ref="B1:J199"/>
  <sheetViews>
    <sheetView showGridLines="0" view="pageBreakPreview" zoomScaleNormal="150" zoomScaleSheetLayoutView="100" zoomScalePageLayoutView="150" workbookViewId="0">
      <selection activeCell="F10" sqref="F10"/>
    </sheetView>
  </sheetViews>
  <sheetFormatPr defaultColWidth="4.125" defaultRowHeight="15.75"/>
  <cols>
    <col min="1" max="1" width="1.625" style="57" customWidth="1"/>
    <col min="2" max="2" width="1.125" style="57" customWidth="1"/>
    <col min="3" max="3" width="3.125" style="57" customWidth="1"/>
    <col min="4" max="4" width="61" style="57" customWidth="1"/>
    <col min="5" max="5" width="8.625" style="59" customWidth="1"/>
    <col min="6" max="6" width="12.125" style="60" customWidth="1"/>
    <col min="7" max="7" width="2.625" style="61" customWidth="1"/>
    <col min="8" max="16384" width="4.125" style="57"/>
  </cols>
  <sheetData>
    <row r="1" spans="2:10" ht="42" customHeight="1">
      <c r="D1" s="58" t="s">
        <v>157</v>
      </c>
    </row>
    <row r="2" spans="2:10" s="66" customFormat="1" ht="13.35" customHeight="1">
      <c r="B2" s="62"/>
      <c r="C2" s="62"/>
      <c r="D2" s="62"/>
      <c r="E2" s="62"/>
      <c r="F2" s="63"/>
      <c r="G2" s="64"/>
      <c r="H2" s="65"/>
    </row>
    <row r="3" spans="2:10" s="69" customFormat="1" ht="18" customHeight="1">
      <c r="B3" s="67"/>
      <c r="C3" s="235" t="s">
        <v>158</v>
      </c>
      <c r="D3" s="235"/>
      <c r="E3" s="235"/>
      <c r="F3" s="235"/>
      <c r="G3" s="64"/>
      <c r="H3" s="68"/>
    </row>
    <row r="4" spans="2:10" s="69" customFormat="1" ht="7.35" customHeight="1">
      <c r="B4" s="67"/>
      <c r="C4" s="70"/>
      <c r="D4" s="70"/>
      <c r="E4" s="70"/>
      <c r="F4" s="71"/>
      <c r="G4" s="64"/>
      <c r="H4" s="68"/>
    </row>
    <row r="5" spans="2:10" ht="22.35" customHeight="1">
      <c r="B5" s="72"/>
      <c r="C5" s="73" t="s">
        <v>159</v>
      </c>
      <c r="D5" s="73"/>
      <c r="E5" s="74" t="str">
        <f>IF(Tabulations!E4=1, MAX(Tabulations!V4:AA4), 0) &amp;" of"</f>
        <v>0 of</v>
      </c>
      <c r="F5" s="73" t="str">
        <f>Tabulations!S4&amp;" Points"</f>
        <v>26 Points</v>
      </c>
      <c r="G5" s="73"/>
      <c r="H5" s="75"/>
      <c r="J5" s="69"/>
    </row>
    <row r="6" spans="2:10" ht="29.1" customHeight="1">
      <c r="B6" s="76"/>
      <c r="C6" s="247" t="s">
        <v>160</v>
      </c>
      <c r="D6" s="237"/>
      <c r="E6" s="237"/>
      <c r="F6" s="237"/>
      <c r="G6" s="77"/>
      <c r="H6" s="78"/>
      <c r="J6" s="69"/>
    </row>
    <row r="7" spans="2:10" ht="29.1" customHeight="1">
      <c r="B7" s="79"/>
      <c r="C7" s="238" t="s">
        <v>161</v>
      </c>
      <c r="D7" s="239"/>
      <c r="E7" s="239"/>
      <c r="F7" s="239"/>
      <c r="G7" s="80"/>
      <c r="H7" s="78"/>
    </row>
    <row r="8" spans="2:10" ht="39" customHeight="1">
      <c r="B8" s="79"/>
      <c r="C8" s="238" t="s">
        <v>162</v>
      </c>
      <c r="D8" s="239"/>
      <c r="E8" s="239"/>
      <c r="F8" s="239"/>
      <c r="G8" s="80"/>
      <c r="H8" s="78"/>
    </row>
    <row r="9" spans="2:10" ht="18" customHeight="1">
      <c r="B9" s="81"/>
      <c r="C9" s="240"/>
      <c r="D9" s="241"/>
      <c r="E9" s="82"/>
      <c r="F9" s="83" t="s">
        <v>103</v>
      </c>
      <c r="G9" s="84"/>
      <c r="H9" s="78"/>
    </row>
    <row r="10" spans="2:10" ht="28.5" customHeight="1">
      <c r="B10" s="85"/>
      <c r="C10" s="86"/>
      <c r="D10" s="86" t="s">
        <v>163</v>
      </c>
      <c r="E10" s="87"/>
      <c r="F10" s="200" t="s">
        <v>164</v>
      </c>
      <c r="G10" s="1"/>
      <c r="H10" s="85"/>
    </row>
    <row r="11" spans="2:10" ht="20.100000000000001" customHeight="1">
      <c r="B11" s="89"/>
      <c r="C11" s="242" t="s">
        <v>165</v>
      </c>
      <c r="D11" s="243"/>
      <c r="E11" s="90"/>
      <c r="F11" s="91" t="s">
        <v>166</v>
      </c>
      <c r="G11" s="92"/>
      <c r="H11" s="78"/>
    </row>
    <row r="12" spans="2:10" ht="29.85" customHeight="1">
      <c r="C12" s="93" t="s">
        <v>105</v>
      </c>
      <c r="D12" s="94" t="s">
        <v>167</v>
      </c>
      <c r="E12" s="87"/>
      <c r="F12" s="200" t="s">
        <v>164</v>
      </c>
      <c r="G12" s="4"/>
      <c r="H12" s="85"/>
    </row>
    <row r="13" spans="2:10" ht="29.85" customHeight="1">
      <c r="C13" s="93" t="s">
        <v>106</v>
      </c>
      <c r="D13" s="94" t="s">
        <v>168</v>
      </c>
      <c r="E13" s="87"/>
      <c r="F13" s="200" t="s">
        <v>164</v>
      </c>
      <c r="G13" s="4"/>
      <c r="H13" s="85"/>
    </row>
    <row r="14" spans="2:10" ht="29.85" customHeight="1">
      <c r="C14" s="93" t="s">
        <v>107</v>
      </c>
      <c r="D14" s="94" t="s">
        <v>169</v>
      </c>
      <c r="E14" s="87"/>
      <c r="F14" s="200" t="s">
        <v>164</v>
      </c>
      <c r="G14" s="4"/>
      <c r="H14" s="85"/>
    </row>
    <row r="15" spans="2:10" ht="29.85" customHeight="1">
      <c r="C15" s="93" t="s">
        <v>108</v>
      </c>
      <c r="D15" s="94" t="s">
        <v>170</v>
      </c>
      <c r="E15" s="87"/>
      <c r="F15" s="200" t="s">
        <v>164</v>
      </c>
      <c r="G15" s="4"/>
      <c r="H15" s="85"/>
    </row>
    <row r="16" spans="2:10" ht="29.85" customHeight="1">
      <c r="C16" s="93" t="s">
        <v>109</v>
      </c>
      <c r="D16" s="94" t="s">
        <v>171</v>
      </c>
      <c r="E16" s="87"/>
      <c r="F16" s="200" t="s">
        <v>164</v>
      </c>
      <c r="G16" s="4"/>
      <c r="H16" s="85"/>
    </row>
    <row r="17" spans="2:8" ht="29.85" customHeight="1">
      <c r="C17" s="93" t="s">
        <v>110</v>
      </c>
      <c r="D17" s="94" t="s">
        <v>172</v>
      </c>
      <c r="E17" s="87"/>
      <c r="F17" s="200" t="s">
        <v>164</v>
      </c>
      <c r="G17" s="4"/>
      <c r="H17" s="85"/>
    </row>
    <row r="18" spans="2:8" ht="29.85" customHeight="1">
      <c r="C18" s="93" t="s">
        <v>111</v>
      </c>
      <c r="D18" s="94" t="s">
        <v>173</v>
      </c>
      <c r="E18" s="87"/>
      <c r="F18" s="200" t="s">
        <v>164</v>
      </c>
      <c r="G18" s="4"/>
      <c r="H18" s="85"/>
    </row>
    <row r="19" spans="2:8" ht="18" customHeight="1">
      <c r="B19" s="85"/>
      <c r="C19" s="85"/>
      <c r="D19" s="95"/>
      <c r="E19" s="95" t="s">
        <v>174</v>
      </c>
      <c r="F19" s="96" t="str">
        <f>IF(F10="Yes",COUNTIF(F12:F18,"Yes") &amp;" of " &amp;COUNTIF(B12:C18,"*"),"-")</f>
        <v>-</v>
      </c>
      <c r="G19" s="97"/>
      <c r="H19" s="85"/>
    </row>
    <row r="20" spans="2:8" ht="7.35" customHeight="1">
      <c r="B20" s="85"/>
      <c r="C20" s="85"/>
      <c r="D20" s="98"/>
      <c r="E20" s="99"/>
      <c r="F20" s="100"/>
      <c r="G20" s="101"/>
      <c r="H20" s="85"/>
    </row>
    <row r="21" spans="2:8" ht="22.35" customHeight="1">
      <c r="B21" s="72"/>
      <c r="C21" s="73" t="s">
        <v>175</v>
      </c>
      <c r="D21" s="73"/>
      <c r="E21" s="74" t="str">
        <f>IF(Tabulations!E5=1, MAX(Tabulations!V5:AA5), 0) &amp;" of"</f>
        <v>0 of</v>
      </c>
      <c r="F21" s="73" t="str">
        <f>Tabulations!S5&amp;" Points"</f>
        <v>20 Points</v>
      </c>
      <c r="G21" s="73"/>
      <c r="H21" s="75"/>
    </row>
    <row r="22" spans="2:8" ht="29.1" customHeight="1">
      <c r="B22" s="76"/>
      <c r="C22" s="247" t="s">
        <v>176</v>
      </c>
      <c r="D22" s="237"/>
      <c r="E22" s="237"/>
      <c r="F22" s="237"/>
      <c r="G22" s="77"/>
      <c r="H22" s="78"/>
    </row>
    <row r="23" spans="2:8" ht="29.1" customHeight="1">
      <c r="B23" s="79"/>
      <c r="C23" s="238" t="s">
        <v>177</v>
      </c>
      <c r="D23" s="239"/>
      <c r="E23" s="239"/>
      <c r="F23" s="239"/>
      <c r="G23" s="80"/>
      <c r="H23" s="78"/>
    </row>
    <row r="24" spans="2:8" ht="40.35" customHeight="1">
      <c r="B24" s="79"/>
      <c r="C24" s="238" t="s">
        <v>178</v>
      </c>
      <c r="D24" s="239"/>
      <c r="E24" s="239"/>
      <c r="F24" s="239"/>
      <c r="G24" s="80"/>
      <c r="H24" s="78"/>
    </row>
    <row r="25" spans="2:8" ht="18" customHeight="1">
      <c r="B25" s="81"/>
      <c r="C25" s="240"/>
      <c r="D25" s="241"/>
      <c r="E25" s="102"/>
      <c r="F25" s="83" t="s">
        <v>103</v>
      </c>
      <c r="G25" s="84"/>
      <c r="H25" s="78"/>
    </row>
    <row r="26" spans="2:8" ht="29.1" customHeight="1">
      <c r="B26" s="85"/>
      <c r="C26" s="86"/>
      <c r="D26" s="86" t="s">
        <v>163</v>
      </c>
      <c r="E26" s="103"/>
      <c r="F26" s="200" t="s">
        <v>164</v>
      </c>
      <c r="G26" s="1"/>
      <c r="H26" s="85"/>
    </row>
    <row r="27" spans="2:8" ht="20.100000000000001" customHeight="1">
      <c r="B27" s="89"/>
      <c r="C27" s="242" t="s">
        <v>165</v>
      </c>
      <c r="D27" s="243"/>
      <c r="E27" s="104"/>
      <c r="F27" s="91" t="s">
        <v>166</v>
      </c>
      <c r="G27" s="92"/>
      <c r="H27" s="78"/>
    </row>
    <row r="28" spans="2:8" ht="29.1" customHeight="1">
      <c r="C28" s="93" t="s">
        <v>105</v>
      </c>
      <c r="D28" s="94" t="s">
        <v>179</v>
      </c>
      <c r="E28" s="87"/>
      <c r="F28" s="200" t="s">
        <v>164</v>
      </c>
      <c r="G28" s="4"/>
    </row>
    <row r="29" spans="2:8" ht="29.1" customHeight="1">
      <c r="C29" s="93" t="s">
        <v>106</v>
      </c>
      <c r="D29" s="94" t="s">
        <v>180</v>
      </c>
      <c r="E29" s="87"/>
      <c r="F29" s="200" t="s">
        <v>164</v>
      </c>
      <c r="G29" s="4"/>
    </row>
    <row r="30" spans="2:8" ht="29.1" customHeight="1">
      <c r="C30" s="93" t="s">
        <v>107</v>
      </c>
      <c r="D30" s="94" t="s">
        <v>181</v>
      </c>
      <c r="E30" s="87"/>
      <c r="F30" s="200" t="s">
        <v>164</v>
      </c>
      <c r="G30" s="4"/>
    </row>
    <row r="31" spans="2:8" ht="29.1" customHeight="1">
      <c r="C31" s="93" t="s">
        <v>108</v>
      </c>
      <c r="D31" s="94" t="s">
        <v>182</v>
      </c>
      <c r="E31" s="87"/>
      <c r="F31" s="200" t="s">
        <v>164</v>
      </c>
      <c r="G31" s="4"/>
    </row>
    <row r="32" spans="2:8" ht="29.1" customHeight="1">
      <c r="C32" s="93" t="s">
        <v>109</v>
      </c>
      <c r="D32" s="94" t="s">
        <v>183</v>
      </c>
      <c r="E32" s="87"/>
      <c r="F32" s="200" t="s">
        <v>164</v>
      </c>
      <c r="G32" s="4"/>
    </row>
    <row r="33" spans="2:8" ht="29.1" customHeight="1">
      <c r="C33" s="93" t="s">
        <v>110</v>
      </c>
      <c r="D33" s="94" t="s">
        <v>184</v>
      </c>
      <c r="E33" s="87"/>
      <c r="F33" s="200" t="s">
        <v>164</v>
      </c>
      <c r="G33" s="4"/>
    </row>
    <row r="34" spans="2:8" ht="18" customHeight="1">
      <c r="B34" s="85"/>
      <c r="C34" s="85"/>
      <c r="D34" s="95"/>
      <c r="E34" s="95" t="s">
        <v>174</v>
      </c>
      <c r="F34" s="96" t="str">
        <f>IF(F26="Yes",COUNTIF(F28:F33,"Yes") &amp;" of " &amp;COUNTIF(B28:C33,"*"),"-")</f>
        <v>-</v>
      </c>
      <c r="G34" s="97"/>
      <c r="H34" s="85"/>
    </row>
    <row r="35" spans="2:8" ht="7.35" customHeight="1">
      <c r="B35" s="85"/>
      <c r="C35" s="85"/>
      <c r="D35" s="98"/>
      <c r="E35" s="99"/>
      <c r="F35" s="100" t="s">
        <v>185</v>
      </c>
      <c r="G35" s="101"/>
      <c r="H35" s="85"/>
    </row>
    <row r="36" spans="2:8" ht="22.35" customHeight="1">
      <c r="B36" s="72"/>
      <c r="C36" s="73" t="s">
        <v>186</v>
      </c>
      <c r="D36" s="73"/>
      <c r="E36" s="74" t="str">
        <f>IF(Tabulations!E6=1, MAX(Tabulations!V6:AA6), 0) &amp;" of"</f>
        <v>0 of</v>
      </c>
      <c r="F36" s="73" t="str">
        <f>Tabulations!S6&amp;" Points"</f>
        <v>14 Points</v>
      </c>
      <c r="G36" s="73"/>
      <c r="H36" s="75"/>
    </row>
    <row r="37" spans="2:8" ht="29.1" customHeight="1">
      <c r="B37" s="76"/>
      <c r="C37" s="247" t="s">
        <v>187</v>
      </c>
      <c r="D37" s="237"/>
      <c r="E37" s="237"/>
      <c r="F37" s="237"/>
      <c r="G37" s="77"/>
      <c r="H37" s="78"/>
    </row>
    <row r="38" spans="2:8" ht="29.1" customHeight="1">
      <c r="B38" s="79"/>
      <c r="C38" s="238" t="s">
        <v>188</v>
      </c>
      <c r="D38" s="239"/>
      <c r="E38" s="239"/>
      <c r="F38" s="239"/>
      <c r="G38" s="80"/>
      <c r="H38" s="78"/>
    </row>
    <row r="39" spans="2:8" ht="28.35" customHeight="1">
      <c r="B39" s="79"/>
      <c r="C39" s="238" t="s">
        <v>189</v>
      </c>
      <c r="D39" s="239"/>
      <c r="E39" s="239"/>
      <c r="F39" s="239"/>
      <c r="G39" s="80"/>
      <c r="H39" s="78"/>
    </row>
    <row r="40" spans="2:8" ht="18" customHeight="1">
      <c r="B40" s="81"/>
      <c r="C40" s="240"/>
      <c r="D40" s="241"/>
      <c r="E40" s="102"/>
      <c r="F40" s="83" t="s">
        <v>103</v>
      </c>
      <c r="G40" s="84"/>
      <c r="H40" s="78"/>
    </row>
    <row r="41" spans="2:8" ht="29.1" customHeight="1">
      <c r="B41" s="85"/>
      <c r="C41" s="86"/>
      <c r="D41" s="86" t="s">
        <v>163</v>
      </c>
      <c r="E41" s="103"/>
      <c r="F41" s="200" t="s">
        <v>164</v>
      </c>
      <c r="G41" s="1"/>
      <c r="H41" s="85"/>
    </row>
    <row r="42" spans="2:8" ht="20.100000000000001" customHeight="1">
      <c r="B42" s="89"/>
      <c r="C42" s="242" t="s">
        <v>165</v>
      </c>
      <c r="D42" s="243"/>
      <c r="E42" s="104"/>
      <c r="F42" s="91" t="s">
        <v>166</v>
      </c>
      <c r="G42" s="92"/>
      <c r="H42" s="78"/>
    </row>
    <row r="43" spans="2:8" ht="29.85" customHeight="1">
      <c r="C43" s="93" t="s">
        <v>105</v>
      </c>
      <c r="D43" s="94" t="s">
        <v>190</v>
      </c>
      <c r="E43" s="87"/>
      <c r="F43" s="200" t="s">
        <v>164</v>
      </c>
      <c r="G43" s="4"/>
      <c r="H43" s="85"/>
    </row>
    <row r="44" spans="2:8" ht="29.85" customHeight="1">
      <c r="C44" s="93" t="s">
        <v>106</v>
      </c>
      <c r="D44" s="94" t="s">
        <v>191</v>
      </c>
      <c r="E44" s="87"/>
      <c r="F44" s="200" t="s">
        <v>164</v>
      </c>
      <c r="G44" s="4"/>
      <c r="H44" s="85"/>
    </row>
    <row r="45" spans="2:8" ht="29.85" customHeight="1">
      <c r="C45" s="93" t="s">
        <v>107</v>
      </c>
      <c r="D45" s="94" t="s">
        <v>192</v>
      </c>
      <c r="E45" s="87"/>
      <c r="F45" s="200" t="s">
        <v>164</v>
      </c>
      <c r="G45" s="4"/>
      <c r="H45" s="85"/>
    </row>
    <row r="46" spans="2:8" ht="29.85" customHeight="1">
      <c r="C46" s="93" t="s">
        <v>108</v>
      </c>
      <c r="D46" s="94" t="s">
        <v>193</v>
      </c>
      <c r="E46" s="87"/>
      <c r="F46" s="200" t="s">
        <v>164</v>
      </c>
      <c r="G46" s="4"/>
      <c r="H46" s="85"/>
    </row>
    <row r="47" spans="2:8" ht="29.85" customHeight="1">
      <c r="C47" s="93" t="s">
        <v>109</v>
      </c>
      <c r="D47" s="94" t="s">
        <v>194</v>
      </c>
      <c r="E47" s="87"/>
      <c r="F47" s="200" t="s">
        <v>164</v>
      </c>
      <c r="G47" s="4"/>
      <c r="H47" s="85"/>
    </row>
    <row r="48" spans="2:8" ht="18" customHeight="1">
      <c r="B48" s="85"/>
      <c r="C48" s="85"/>
      <c r="D48" s="95"/>
      <c r="E48" s="95" t="s">
        <v>174</v>
      </c>
      <c r="F48" s="96" t="str">
        <f>IF(F41="Yes",COUNTIF(F43:F47,"Yes") &amp;" of " &amp;COUNTIF(B43:C47,"*"),"-")</f>
        <v>-</v>
      </c>
      <c r="G48" s="97"/>
      <c r="H48" s="85"/>
    </row>
    <row r="49" spans="2:8" ht="7.35" customHeight="1">
      <c r="B49" s="85"/>
      <c r="C49" s="85"/>
      <c r="D49" s="98"/>
      <c r="E49" s="99"/>
      <c r="F49" s="100"/>
      <c r="G49" s="101"/>
      <c r="H49" s="85"/>
    </row>
    <row r="50" spans="2:8" ht="22.35" customHeight="1">
      <c r="B50" s="72"/>
      <c r="C50" s="73" t="s">
        <v>195</v>
      </c>
      <c r="D50" s="73"/>
      <c r="E50" s="74" t="str">
        <f>IF(Tabulations!E7=1, MAX(Tabulations!V7:AA7), 0) &amp;" of"</f>
        <v>0 of</v>
      </c>
      <c r="F50" s="73" t="str">
        <f>Tabulations!S7&amp;" Points"</f>
        <v>12 Points</v>
      </c>
      <c r="G50" s="73"/>
      <c r="H50" s="75"/>
    </row>
    <row r="51" spans="2:8" ht="29.1" customHeight="1">
      <c r="B51" s="76"/>
      <c r="C51" s="247" t="s">
        <v>196</v>
      </c>
      <c r="D51" s="237"/>
      <c r="E51" s="237"/>
      <c r="F51" s="237"/>
      <c r="G51" s="77"/>
      <c r="H51" s="78"/>
    </row>
    <row r="52" spans="2:8" ht="29.1" customHeight="1">
      <c r="B52" s="79"/>
      <c r="C52" s="238" t="s">
        <v>197</v>
      </c>
      <c r="D52" s="239"/>
      <c r="E52" s="239"/>
      <c r="F52" s="239"/>
      <c r="G52" s="80"/>
      <c r="H52" s="78"/>
    </row>
    <row r="53" spans="2:8" ht="35.1" customHeight="1">
      <c r="B53" s="79"/>
      <c r="C53" s="238" t="s">
        <v>198</v>
      </c>
      <c r="D53" s="239"/>
      <c r="E53" s="239"/>
      <c r="F53" s="239"/>
      <c r="G53" s="80"/>
      <c r="H53" s="78"/>
    </row>
    <row r="54" spans="2:8" ht="18" customHeight="1">
      <c r="B54" s="81"/>
      <c r="C54" s="240"/>
      <c r="D54" s="241"/>
      <c r="E54" s="102"/>
      <c r="F54" s="83" t="s">
        <v>103</v>
      </c>
      <c r="G54" s="84"/>
      <c r="H54" s="78"/>
    </row>
    <row r="55" spans="2:8" ht="29.1" customHeight="1">
      <c r="B55" s="85"/>
      <c r="C55" s="86"/>
      <c r="D55" s="86" t="s">
        <v>163</v>
      </c>
      <c r="E55" s="103"/>
      <c r="F55" s="108" t="s">
        <v>164</v>
      </c>
      <c r="G55" s="1"/>
      <c r="H55" s="85"/>
    </row>
    <row r="56" spans="2:8" ht="20.100000000000001" customHeight="1">
      <c r="B56" s="89"/>
      <c r="C56" s="242" t="s">
        <v>165</v>
      </c>
      <c r="D56" s="243"/>
      <c r="E56" s="104"/>
      <c r="F56" s="91" t="s">
        <v>166</v>
      </c>
      <c r="G56" s="92"/>
      <c r="H56" s="78"/>
    </row>
    <row r="57" spans="2:8" ht="29.85" customHeight="1">
      <c r="C57" s="93" t="s">
        <v>105</v>
      </c>
      <c r="D57" s="94" t="s">
        <v>199</v>
      </c>
      <c r="E57" s="87"/>
      <c r="F57" s="200" t="s">
        <v>164</v>
      </c>
      <c r="G57" s="4"/>
      <c r="H57" s="85"/>
    </row>
    <row r="58" spans="2:8" ht="29.85" customHeight="1">
      <c r="C58" s="93" t="s">
        <v>106</v>
      </c>
      <c r="D58" s="94" t="s">
        <v>200</v>
      </c>
      <c r="E58" s="87"/>
      <c r="F58" s="200" t="s">
        <v>164</v>
      </c>
      <c r="G58" s="4"/>
      <c r="H58" s="85"/>
    </row>
    <row r="59" spans="2:8" ht="29.85" customHeight="1">
      <c r="C59" s="93" t="s">
        <v>107</v>
      </c>
      <c r="D59" s="94" t="s">
        <v>201</v>
      </c>
      <c r="E59" s="87"/>
      <c r="F59" s="200" t="s">
        <v>164</v>
      </c>
      <c r="G59" s="4"/>
      <c r="H59" s="85"/>
    </row>
    <row r="60" spans="2:8" ht="29.85" customHeight="1">
      <c r="C60" s="93" t="s">
        <v>108</v>
      </c>
      <c r="D60" s="94" t="s">
        <v>202</v>
      </c>
      <c r="E60" s="87"/>
      <c r="F60" s="200" t="s">
        <v>164</v>
      </c>
      <c r="G60" s="4"/>
      <c r="H60" s="85"/>
    </row>
    <row r="61" spans="2:8" ht="29.85" customHeight="1">
      <c r="C61" s="93" t="s">
        <v>109</v>
      </c>
      <c r="D61" s="94" t="s">
        <v>203</v>
      </c>
      <c r="E61" s="105"/>
      <c r="F61" s="88" t="str">
        <f>IF(F55="-","-",IF(D62="none","No","Yes"))</f>
        <v>-</v>
      </c>
      <c r="G61" s="4"/>
      <c r="H61" s="85"/>
    </row>
    <row r="62" spans="2:8" ht="29.1" customHeight="1">
      <c r="C62" s="93"/>
      <c r="D62" s="201" t="s">
        <v>204</v>
      </c>
      <c r="E62" s="106">
        <f>VLOOKUP(D62,lookup!$E$17:$F$19,2,FALSE)</f>
        <v>2</v>
      </c>
      <c r="F62" s="105"/>
      <c r="G62" s="4"/>
      <c r="H62" s="85"/>
    </row>
    <row r="63" spans="2:8" ht="18" customHeight="1">
      <c r="B63" s="85"/>
      <c r="C63" s="85"/>
      <c r="D63" s="95"/>
      <c r="E63" s="95" t="s">
        <v>174</v>
      </c>
      <c r="F63" s="96" t="str">
        <f>IF(F55="Yes",COUNTIF(F57:F61,"Yes") &amp;" of " &amp;COUNTIF(B57:C61,"*"),"-")</f>
        <v>-</v>
      </c>
      <c r="G63" s="97"/>
      <c r="H63" s="85"/>
    </row>
    <row r="64" spans="2:8" ht="7.35" customHeight="1">
      <c r="B64" s="85"/>
      <c r="C64" s="85"/>
      <c r="D64" s="98"/>
      <c r="E64" s="99"/>
      <c r="F64" s="100"/>
      <c r="G64" s="101"/>
      <c r="H64" s="85"/>
    </row>
    <row r="65" spans="2:8" ht="22.35" customHeight="1">
      <c r="B65" s="72"/>
      <c r="C65" s="73" t="s">
        <v>205</v>
      </c>
      <c r="D65" s="73"/>
      <c r="E65" s="74" t="str">
        <f>IF(Tabulations!E8=1, MAX(Tabulations!V8:AA8), 0) &amp;" of"</f>
        <v>0 of</v>
      </c>
      <c r="F65" s="73" t="str">
        <f>Tabulations!S8&amp;" Points"</f>
        <v>12 Points</v>
      </c>
      <c r="G65" s="73"/>
      <c r="H65" s="75"/>
    </row>
    <row r="66" spans="2:8" ht="29.1" customHeight="1">
      <c r="B66" s="76"/>
      <c r="C66" s="236" t="s">
        <v>206</v>
      </c>
      <c r="D66" s="237"/>
      <c r="E66" s="237"/>
      <c r="F66" s="237"/>
      <c r="G66" s="77"/>
      <c r="H66" s="78"/>
    </row>
    <row r="67" spans="2:8" ht="29.1" customHeight="1">
      <c r="B67" s="79"/>
      <c r="C67" s="238" t="s">
        <v>207</v>
      </c>
      <c r="D67" s="239"/>
      <c r="E67" s="239"/>
      <c r="F67" s="239"/>
      <c r="G67" s="80"/>
      <c r="H67" s="78"/>
    </row>
    <row r="68" spans="2:8" ht="41.1" customHeight="1">
      <c r="B68" s="79"/>
      <c r="C68" s="238" t="s">
        <v>208</v>
      </c>
      <c r="D68" s="239"/>
      <c r="E68" s="239"/>
      <c r="F68" s="239"/>
      <c r="G68" s="80"/>
      <c r="H68" s="78"/>
    </row>
    <row r="69" spans="2:8" ht="18" customHeight="1">
      <c r="B69" s="81"/>
      <c r="C69" s="240"/>
      <c r="D69" s="241"/>
      <c r="E69" s="102"/>
      <c r="F69" s="83" t="s">
        <v>103</v>
      </c>
      <c r="G69" s="84"/>
      <c r="H69" s="78"/>
    </row>
    <row r="70" spans="2:8" ht="29.1" customHeight="1">
      <c r="B70" s="85"/>
      <c r="C70" s="86"/>
      <c r="D70" s="86" t="s">
        <v>163</v>
      </c>
      <c r="E70" s="86"/>
      <c r="F70" s="200" t="s">
        <v>164</v>
      </c>
      <c r="G70" s="1"/>
      <c r="H70" s="85"/>
    </row>
    <row r="71" spans="2:8" ht="20.100000000000001" customHeight="1">
      <c r="B71" s="89"/>
      <c r="C71" s="242" t="s">
        <v>165</v>
      </c>
      <c r="D71" s="243"/>
      <c r="E71" s="104"/>
      <c r="F71" s="91" t="s">
        <v>166</v>
      </c>
      <c r="G71" s="92"/>
      <c r="H71" s="78"/>
    </row>
    <row r="72" spans="2:8" ht="29.1" customHeight="1">
      <c r="C72" s="93" t="s">
        <v>105</v>
      </c>
      <c r="D72" s="94" t="s">
        <v>209</v>
      </c>
      <c r="E72" s="87"/>
      <c r="F72" s="200" t="s">
        <v>164</v>
      </c>
      <c r="G72" s="4"/>
      <c r="H72" s="85"/>
    </row>
    <row r="73" spans="2:8" ht="29.1" customHeight="1">
      <c r="C73" s="93" t="s">
        <v>106</v>
      </c>
      <c r="D73" s="94" t="s">
        <v>210</v>
      </c>
      <c r="E73" s="87"/>
      <c r="F73" s="200" t="s">
        <v>164</v>
      </c>
      <c r="G73" s="4"/>
      <c r="H73" s="85"/>
    </row>
    <row r="74" spans="2:8" ht="37.5" customHeight="1">
      <c r="C74" s="93" t="s">
        <v>107</v>
      </c>
      <c r="D74" s="94" t="s">
        <v>211</v>
      </c>
      <c r="E74" s="87"/>
      <c r="F74" s="200" t="s">
        <v>164</v>
      </c>
      <c r="G74" s="4"/>
      <c r="H74" s="85"/>
    </row>
    <row r="75" spans="2:8" ht="29.1" customHeight="1">
      <c r="C75" s="93" t="s">
        <v>108</v>
      </c>
      <c r="D75" s="94" t="s">
        <v>212</v>
      </c>
      <c r="E75" s="87"/>
      <c r="F75" s="200" t="s">
        <v>164</v>
      </c>
      <c r="G75" s="4"/>
      <c r="H75" s="85"/>
    </row>
    <row r="76" spans="2:8" ht="29.1" customHeight="1">
      <c r="C76" s="93" t="s">
        <v>109</v>
      </c>
      <c r="D76" s="94" t="s">
        <v>213</v>
      </c>
      <c r="E76" s="87"/>
      <c r="F76" s="200" t="s">
        <v>164</v>
      </c>
      <c r="G76" s="4"/>
      <c r="H76" s="85"/>
    </row>
    <row r="77" spans="2:8" ht="29.1" customHeight="1">
      <c r="C77" s="93" t="s">
        <v>110</v>
      </c>
      <c r="D77" s="94" t="s">
        <v>214</v>
      </c>
      <c r="E77" s="87"/>
      <c r="F77" s="200" t="s">
        <v>164</v>
      </c>
      <c r="G77" s="4"/>
      <c r="H77" s="85"/>
    </row>
    <row r="78" spans="2:8" ht="18" customHeight="1">
      <c r="B78" s="85"/>
      <c r="C78" s="85"/>
      <c r="D78" s="95"/>
      <c r="E78" s="95" t="s">
        <v>174</v>
      </c>
      <c r="F78" s="96" t="str">
        <f>IF(F70="Yes",COUNTIF(F72:F77,"Yes") &amp;" of " &amp;COUNTIF(B72:C77,"*"),"-")</f>
        <v>-</v>
      </c>
      <c r="G78" s="97"/>
      <c r="H78" s="85"/>
    </row>
    <row r="79" spans="2:8" ht="6.75" customHeight="1">
      <c r="B79" s="85"/>
      <c r="C79" s="85"/>
      <c r="D79" s="95"/>
      <c r="E79" s="6"/>
      <c r="F79" s="107"/>
      <c r="G79" s="97"/>
      <c r="H79" s="85"/>
    </row>
    <row r="80" spans="2:8" ht="22.35" customHeight="1">
      <c r="B80" s="72"/>
      <c r="C80" s="73" t="s">
        <v>215</v>
      </c>
      <c r="D80" s="73"/>
      <c r="E80" s="74" t="str">
        <f>IF(Tabulations!E9=1, MAX(Tabulations!V9:AA9), 0) &amp;" of"</f>
        <v>0 of</v>
      </c>
      <c r="F80" s="73" t="str">
        <f>Tabulations!S9&amp;" Points"</f>
        <v>8 Points</v>
      </c>
      <c r="G80" s="73"/>
      <c r="H80" s="75"/>
    </row>
    <row r="81" spans="2:8" ht="29.1" customHeight="1">
      <c r="B81" s="76"/>
      <c r="C81" s="236" t="s">
        <v>216</v>
      </c>
      <c r="D81" s="237"/>
      <c r="E81" s="237"/>
      <c r="F81" s="237"/>
      <c r="G81" s="77"/>
      <c r="H81" s="78"/>
    </row>
    <row r="82" spans="2:8" ht="29.1" customHeight="1">
      <c r="B82" s="79"/>
      <c r="C82" s="238" t="s">
        <v>217</v>
      </c>
      <c r="D82" s="239"/>
      <c r="E82" s="239"/>
      <c r="F82" s="239"/>
      <c r="G82" s="80"/>
      <c r="H82" s="78"/>
    </row>
    <row r="83" spans="2:8" ht="42" customHeight="1">
      <c r="B83" s="79"/>
      <c r="C83" s="238" t="s">
        <v>218</v>
      </c>
      <c r="D83" s="239"/>
      <c r="E83" s="239"/>
      <c r="F83" s="239"/>
      <c r="G83" s="80"/>
      <c r="H83" s="78"/>
    </row>
    <row r="84" spans="2:8" ht="18" customHeight="1">
      <c r="B84" s="81"/>
      <c r="C84" s="240"/>
      <c r="D84" s="241"/>
      <c r="E84" s="102"/>
      <c r="F84" s="83" t="s">
        <v>103</v>
      </c>
      <c r="G84" s="84"/>
      <c r="H84" s="78"/>
    </row>
    <row r="85" spans="2:8" ht="29.1" customHeight="1">
      <c r="B85" s="85"/>
      <c r="C85" s="86"/>
      <c r="D85" s="86" t="s">
        <v>163</v>
      </c>
      <c r="E85" s="86"/>
      <c r="F85" s="200" t="s">
        <v>164</v>
      </c>
      <c r="G85" s="1"/>
      <c r="H85" s="85"/>
    </row>
    <row r="86" spans="2:8" ht="20.100000000000001" customHeight="1">
      <c r="B86" s="89"/>
      <c r="C86" s="242" t="s">
        <v>165</v>
      </c>
      <c r="D86" s="243"/>
      <c r="E86" s="104"/>
      <c r="F86" s="91" t="s">
        <v>166</v>
      </c>
      <c r="G86" s="92"/>
      <c r="H86" s="78"/>
    </row>
    <row r="87" spans="2:8" ht="27.6" customHeight="1">
      <c r="C87" s="93" t="s">
        <v>105</v>
      </c>
      <c r="D87" s="94" t="s">
        <v>219</v>
      </c>
      <c r="E87" s="87"/>
      <c r="F87" s="200" t="s">
        <v>164</v>
      </c>
      <c r="G87" s="4"/>
      <c r="H87" s="85"/>
    </row>
    <row r="88" spans="2:8" ht="27.6" customHeight="1">
      <c r="C88" s="93" t="s">
        <v>106</v>
      </c>
      <c r="D88" s="94" t="s">
        <v>220</v>
      </c>
      <c r="E88" s="87"/>
      <c r="F88" s="200" t="s">
        <v>164</v>
      </c>
      <c r="G88" s="4"/>
      <c r="H88" s="85"/>
    </row>
    <row r="89" spans="2:8" ht="27.6" customHeight="1">
      <c r="C89" s="93" t="s">
        <v>107</v>
      </c>
      <c r="D89" s="94" t="s">
        <v>221</v>
      </c>
      <c r="E89" s="87"/>
      <c r="F89" s="200" t="s">
        <v>164</v>
      </c>
      <c r="G89" s="4"/>
      <c r="H89" s="85"/>
    </row>
    <row r="90" spans="2:8" ht="27.6" customHeight="1">
      <c r="C90" s="93" t="s">
        <v>108</v>
      </c>
      <c r="D90" s="94" t="s">
        <v>222</v>
      </c>
      <c r="E90" s="87"/>
      <c r="F90" s="200" t="s">
        <v>164</v>
      </c>
      <c r="G90" s="4"/>
      <c r="H90" s="85"/>
    </row>
    <row r="91" spans="2:8" ht="27.6" customHeight="1">
      <c r="C91" s="93" t="s">
        <v>109</v>
      </c>
      <c r="D91" s="94" t="s">
        <v>223</v>
      </c>
      <c r="E91" s="87"/>
      <c r="F91" s="200" t="s">
        <v>164</v>
      </c>
      <c r="G91" s="4"/>
      <c r="H91" s="85"/>
    </row>
    <row r="92" spans="2:8" ht="27.6" customHeight="1">
      <c r="C92" s="93" t="s">
        <v>110</v>
      </c>
      <c r="D92" s="94" t="s">
        <v>224</v>
      </c>
      <c r="E92" s="87"/>
      <c r="F92" s="200" t="s">
        <v>164</v>
      </c>
      <c r="G92" s="4"/>
      <c r="H92" s="85"/>
    </row>
    <row r="93" spans="2:8" ht="13.5">
      <c r="B93" s="85"/>
      <c r="C93" s="85"/>
      <c r="D93" s="95"/>
      <c r="E93" s="95" t="s">
        <v>174</v>
      </c>
      <c r="F93" s="96" t="str">
        <f>IF(F85="Yes",COUNTIF(F87:F92,"Yes") &amp;" of " &amp;COUNTIF(B87:C92,"*"),"-")</f>
        <v>-</v>
      </c>
      <c r="G93" s="97"/>
      <c r="H93" s="85"/>
    </row>
    <row r="94" spans="2:8" ht="13.5">
      <c r="B94" s="85"/>
      <c r="C94" s="85"/>
      <c r="D94" s="95"/>
      <c r="E94" s="2"/>
      <c r="F94" s="107"/>
      <c r="G94" s="97"/>
      <c r="H94" s="85"/>
    </row>
    <row r="95" spans="2:8" s="69" customFormat="1" ht="18" customHeight="1">
      <c r="B95" s="67"/>
      <c r="C95" s="235" t="s">
        <v>225</v>
      </c>
      <c r="D95" s="235"/>
      <c r="E95" s="235"/>
      <c r="F95" s="235"/>
      <c r="G95" s="64"/>
      <c r="H95" s="68"/>
    </row>
    <row r="96" spans="2:8" ht="6.75" customHeight="1">
      <c r="B96" s="85"/>
      <c r="C96" s="85"/>
      <c r="D96" s="95"/>
      <c r="E96" s="6"/>
      <c r="F96" s="107"/>
      <c r="G96" s="97"/>
      <c r="H96" s="85"/>
    </row>
    <row r="97" spans="2:8" ht="22.35" customHeight="1">
      <c r="B97" s="72"/>
      <c r="C97" s="73" t="s">
        <v>226</v>
      </c>
      <c r="D97" s="73"/>
      <c r="E97" s="74" t="str">
        <f>IF(Tabulations!E10=1, MAX(Tabulations!V10:AA10), 0) &amp;" of"</f>
        <v>0 of</v>
      </c>
      <c r="F97" s="73" t="str">
        <f>Tabulations!S10&amp;" Points"</f>
        <v>14 Points</v>
      </c>
      <c r="G97" s="73"/>
      <c r="H97" s="75"/>
    </row>
    <row r="98" spans="2:8" ht="29.1" customHeight="1">
      <c r="B98" s="76"/>
      <c r="C98" s="236" t="s">
        <v>227</v>
      </c>
      <c r="D98" s="237"/>
      <c r="E98" s="237"/>
      <c r="F98" s="237"/>
      <c r="G98" s="77"/>
      <c r="H98" s="78"/>
    </row>
    <row r="99" spans="2:8" ht="29.1" customHeight="1">
      <c r="B99" s="79"/>
      <c r="C99" s="238" t="s">
        <v>228</v>
      </c>
      <c r="D99" s="239"/>
      <c r="E99" s="239"/>
      <c r="F99" s="239"/>
      <c r="G99" s="80"/>
      <c r="H99" s="78"/>
    </row>
    <row r="100" spans="2:8" ht="51" customHeight="1">
      <c r="B100" s="79"/>
      <c r="C100" s="238" t="s">
        <v>229</v>
      </c>
      <c r="D100" s="239"/>
      <c r="E100" s="239"/>
      <c r="F100" s="239"/>
      <c r="G100" s="80"/>
      <c r="H100" s="78"/>
    </row>
    <row r="101" spans="2:8" ht="18" customHeight="1">
      <c r="B101" s="81"/>
      <c r="C101" s="240"/>
      <c r="D101" s="241"/>
      <c r="E101" s="102"/>
      <c r="F101" s="83" t="s">
        <v>103</v>
      </c>
      <c r="G101" s="84"/>
      <c r="H101" s="78"/>
    </row>
    <row r="102" spans="2:8" ht="29.1" customHeight="1">
      <c r="B102" s="85"/>
      <c r="C102" s="86"/>
      <c r="D102" s="86" t="s">
        <v>163</v>
      </c>
      <c r="E102" s="86"/>
      <c r="F102" s="200" t="s">
        <v>164</v>
      </c>
      <c r="G102" s="1"/>
      <c r="H102" s="85"/>
    </row>
    <row r="103" spans="2:8" ht="20.100000000000001" customHeight="1">
      <c r="B103" s="89"/>
      <c r="C103" s="242" t="s">
        <v>165</v>
      </c>
      <c r="D103" s="243"/>
      <c r="E103" s="104"/>
      <c r="F103" s="91" t="s">
        <v>166</v>
      </c>
      <c r="G103" s="92"/>
      <c r="H103" s="78"/>
    </row>
    <row r="104" spans="2:8" ht="29.1" customHeight="1">
      <c r="C104" s="93" t="s">
        <v>105</v>
      </c>
      <c r="D104" s="94" t="s">
        <v>230</v>
      </c>
      <c r="E104" s="87"/>
      <c r="F104" s="200" t="s">
        <v>164</v>
      </c>
      <c r="G104" s="4"/>
      <c r="H104" s="85"/>
    </row>
    <row r="105" spans="2:8" ht="29.1" customHeight="1">
      <c r="C105" s="93" t="s">
        <v>106</v>
      </c>
      <c r="D105" s="94" t="s">
        <v>231</v>
      </c>
      <c r="E105" s="87"/>
      <c r="F105" s="200" t="s">
        <v>164</v>
      </c>
      <c r="G105" s="4"/>
      <c r="H105" s="85"/>
    </row>
    <row r="106" spans="2:8" ht="29.1" customHeight="1">
      <c r="C106" s="93" t="s">
        <v>107</v>
      </c>
      <c r="D106" s="94" t="s">
        <v>232</v>
      </c>
      <c r="E106" s="87"/>
      <c r="F106" s="200" t="s">
        <v>164</v>
      </c>
      <c r="G106" s="4"/>
      <c r="H106" s="85"/>
    </row>
    <row r="107" spans="2:8" ht="29.1" customHeight="1">
      <c r="C107" s="93" t="s">
        <v>108</v>
      </c>
      <c r="D107" s="94" t="s">
        <v>233</v>
      </c>
      <c r="E107" s="87"/>
      <c r="F107" s="200" t="s">
        <v>164</v>
      </c>
      <c r="G107" s="4"/>
      <c r="H107" s="85"/>
    </row>
    <row r="108" spans="2:8" ht="29.1" customHeight="1">
      <c r="C108" s="93" t="s">
        <v>109</v>
      </c>
      <c r="D108" s="94" t="s">
        <v>234</v>
      </c>
      <c r="E108" s="87"/>
      <c r="F108" s="200" t="s">
        <v>164</v>
      </c>
      <c r="G108" s="4"/>
      <c r="H108" s="85"/>
    </row>
    <row r="109" spans="2:8" ht="29.1" customHeight="1">
      <c r="C109" s="93" t="s">
        <v>110</v>
      </c>
      <c r="D109" s="94" t="s">
        <v>235</v>
      </c>
      <c r="E109" s="87"/>
      <c r="F109" s="200" t="s">
        <v>164</v>
      </c>
      <c r="G109" s="4"/>
      <c r="H109" s="85"/>
    </row>
    <row r="110" spans="2:8" ht="13.5">
      <c r="B110" s="85"/>
      <c r="C110" s="85"/>
      <c r="D110" s="95"/>
      <c r="E110" s="95" t="s">
        <v>174</v>
      </c>
      <c r="F110" s="96" t="str">
        <f>IF(F102="Yes",COUNTIF(F104:F109,"Yes") &amp;" of " &amp;COUNTIF(B104:C109,"*"),"-")</f>
        <v>-</v>
      </c>
      <c r="G110" s="97"/>
      <c r="H110" s="85"/>
    </row>
    <row r="111" spans="2:8" ht="6.75" customHeight="1">
      <c r="B111" s="85"/>
      <c r="C111" s="85"/>
      <c r="D111" s="95"/>
      <c r="E111" s="6"/>
      <c r="F111" s="107"/>
      <c r="G111" s="97"/>
      <c r="H111" s="85"/>
    </row>
    <row r="112" spans="2:8" ht="22.35" customHeight="1">
      <c r="B112" s="72"/>
      <c r="C112" s="73" t="s">
        <v>236</v>
      </c>
      <c r="D112" s="73"/>
      <c r="E112" s="74" t="str">
        <f>IF(Tabulations!E11=1, MAX(Tabulations!V11:AA11), 0) &amp;" of"</f>
        <v>0 of</v>
      </c>
      <c r="F112" s="73" t="str">
        <f>Tabulations!S11&amp;" Points"</f>
        <v>16 Points</v>
      </c>
      <c r="G112" s="73"/>
      <c r="H112" s="75"/>
    </row>
    <row r="113" spans="2:8" ht="29.1" customHeight="1">
      <c r="B113" s="76"/>
      <c r="C113" s="236" t="s">
        <v>237</v>
      </c>
      <c r="D113" s="237"/>
      <c r="E113" s="237"/>
      <c r="F113" s="237"/>
      <c r="G113" s="77"/>
      <c r="H113" s="78"/>
    </row>
    <row r="114" spans="2:8" ht="29.1" customHeight="1">
      <c r="B114" s="79"/>
      <c r="C114" s="238" t="s">
        <v>238</v>
      </c>
      <c r="D114" s="239"/>
      <c r="E114" s="239"/>
      <c r="F114" s="239"/>
      <c r="G114" s="80"/>
      <c r="H114" s="78"/>
    </row>
    <row r="115" spans="2:8" ht="50.1" customHeight="1">
      <c r="B115" s="79"/>
      <c r="C115" s="238" t="s">
        <v>239</v>
      </c>
      <c r="D115" s="239"/>
      <c r="E115" s="239"/>
      <c r="F115" s="239"/>
      <c r="G115" s="80"/>
      <c r="H115" s="78"/>
    </row>
    <row r="116" spans="2:8" ht="18" customHeight="1">
      <c r="B116" s="81"/>
      <c r="C116" s="240"/>
      <c r="D116" s="241"/>
      <c r="E116" s="102"/>
      <c r="F116" s="83" t="s">
        <v>103</v>
      </c>
      <c r="G116" s="84"/>
      <c r="H116" s="78"/>
    </row>
    <row r="117" spans="2:8" ht="29.1" customHeight="1">
      <c r="B117" s="85"/>
      <c r="C117" s="86"/>
      <c r="D117" s="86" t="s">
        <v>163</v>
      </c>
      <c r="E117" s="86"/>
      <c r="F117" s="200" t="s">
        <v>164</v>
      </c>
      <c r="G117" s="1"/>
      <c r="H117" s="85"/>
    </row>
    <row r="118" spans="2:8" ht="20.100000000000001" customHeight="1">
      <c r="B118" s="89"/>
      <c r="C118" s="242" t="s">
        <v>165</v>
      </c>
      <c r="D118" s="243"/>
      <c r="E118" s="104"/>
      <c r="F118" s="91" t="s">
        <v>166</v>
      </c>
      <c r="G118" s="92"/>
      <c r="H118" s="78"/>
    </row>
    <row r="119" spans="2:8" ht="29.1" customHeight="1">
      <c r="C119" s="93" t="s">
        <v>105</v>
      </c>
      <c r="D119" s="94" t="s">
        <v>240</v>
      </c>
      <c r="E119" s="87"/>
      <c r="F119" s="200" t="s">
        <v>164</v>
      </c>
      <c r="G119" s="4"/>
      <c r="H119" s="85"/>
    </row>
    <row r="120" spans="2:8" ht="29.1" customHeight="1">
      <c r="C120" s="93" t="s">
        <v>106</v>
      </c>
      <c r="D120" s="94" t="s">
        <v>241</v>
      </c>
      <c r="E120" s="87"/>
      <c r="F120" s="200" t="s">
        <v>164</v>
      </c>
      <c r="G120" s="4"/>
      <c r="H120" s="85"/>
    </row>
    <row r="121" spans="2:8" ht="29.1" customHeight="1">
      <c r="C121" s="93" t="s">
        <v>107</v>
      </c>
      <c r="D121" s="94" t="s">
        <v>242</v>
      </c>
      <c r="E121" s="87"/>
      <c r="F121" s="200" t="s">
        <v>164</v>
      </c>
      <c r="G121" s="4"/>
      <c r="H121" s="85"/>
    </row>
    <row r="122" spans="2:8" ht="29.1" customHeight="1">
      <c r="C122" s="93" t="s">
        <v>108</v>
      </c>
      <c r="D122" s="94" t="s">
        <v>243</v>
      </c>
      <c r="E122" s="87"/>
      <c r="F122" s="200" t="s">
        <v>164</v>
      </c>
      <c r="G122" s="4"/>
      <c r="H122" s="85"/>
    </row>
    <row r="123" spans="2:8" ht="13.5">
      <c r="B123" s="85"/>
      <c r="C123" s="85"/>
      <c r="D123" s="95"/>
      <c r="E123" s="95" t="s">
        <v>174</v>
      </c>
      <c r="F123" s="96" t="str">
        <f>IF(F117="Yes",COUNTIF(F119:F122,"Yes") &amp;" of " &amp;COUNTIF(B119:C122,"*"),"-")</f>
        <v>-</v>
      </c>
      <c r="G123" s="97"/>
      <c r="H123" s="85"/>
    </row>
    <row r="124" spans="2:8" ht="6.75" customHeight="1">
      <c r="B124" s="85"/>
      <c r="C124" s="85"/>
      <c r="D124" s="95"/>
      <c r="E124" s="6"/>
      <c r="F124" s="107"/>
      <c r="G124" s="97"/>
      <c r="H124" s="85"/>
    </row>
    <row r="125" spans="2:8" ht="22.35" customHeight="1">
      <c r="B125" s="72"/>
      <c r="C125" s="73" t="s">
        <v>244</v>
      </c>
      <c r="D125" s="73"/>
      <c r="E125" s="74" t="str">
        <f>IF(Tabulations!E12=1, MAX(Tabulations!V12:AA12), 0) &amp;" of"</f>
        <v>0 of</v>
      </c>
      <c r="F125" s="73" t="str">
        <f>Tabulations!S12&amp;" Points"</f>
        <v>14 Points</v>
      </c>
      <c r="G125" s="73"/>
      <c r="H125" s="75"/>
    </row>
    <row r="126" spans="2:8" ht="28.35" customHeight="1">
      <c r="B126" s="76"/>
      <c r="C126" s="236" t="s">
        <v>245</v>
      </c>
      <c r="D126" s="236"/>
      <c r="E126" s="236"/>
      <c r="F126" s="236"/>
      <c r="G126" s="77"/>
      <c r="H126" s="78"/>
    </row>
    <row r="127" spans="2:8" ht="28.35" customHeight="1">
      <c r="B127" s="79"/>
      <c r="C127" s="238" t="s">
        <v>246</v>
      </c>
      <c r="D127" s="238"/>
      <c r="E127" s="238"/>
      <c r="F127" s="238"/>
      <c r="G127" s="80"/>
      <c r="H127" s="78"/>
    </row>
    <row r="128" spans="2:8" ht="63.75" customHeight="1">
      <c r="B128" s="79"/>
      <c r="C128" s="238" t="s">
        <v>247</v>
      </c>
      <c r="D128" s="238"/>
      <c r="E128" s="238"/>
      <c r="F128" s="238"/>
      <c r="G128" s="80"/>
      <c r="H128" s="78"/>
    </row>
    <row r="129" spans="2:8" ht="18" customHeight="1">
      <c r="B129" s="81"/>
      <c r="C129" s="240"/>
      <c r="D129" s="240"/>
      <c r="E129" s="102"/>
      <c r="F129" s="83" t="s">
        <v>103</v>
      </c>
      <c r="G129" s="84"/>
      <c r="H129" s="78"/>
    </row>
    <row r="130" spans="2:8" ht="29.1" customHeight="1">
      <c r="B130" s="85"/>
      <c r="C130" s="86"/>
      <c r="D130" s="86" t="s">
        <v>163</v>
      </c>
      <c r="E130" s="86"/>
      <c r="F130" s="200" t="s">
        <v>164</v>
      </c>
      <c r="G130" s="1"/>
      <c r="H130" s="85"/>
    </row>
    <row r="131" spans="2:8" ht="20.100000000000001" customHeight="1">
      <c r="B131" s="89"/>
      <c r="C131" s="242" t="s">
        <v>165</v>
      </c>
      <c r="D131" s="243"/>
      <c r="E131" s="104"/>
      <c r="F131" s="91" t="s">
        <v>166</v>
      </c>
      <c r="G131" s="92"/>
      <c r="H131" s="78"/>
    </row>
    <row r="132" spans="2:8" ht="29.1" customHeight="1">
      <c r="C132" s="93" t="s">
        <v>105</v>
      </c>
      <c r="D132" s="94" t="s">
        <v>248</v>
      </c>
      <c r="E132" s="87"/>
      <c r="F132" s="200" t="s">
        <v>164</v>
      </c>
      <c r="G132" s="4"/>
      <c r="H132" s="85"/>
    </row>
    <row r="133" spans="2:8" ht="29.1" customHeight="1">
      <c r="C133" s="93" t="s">
        <v>106</v>
      </c>
      <c r="D133" s="94" t="s">
        <v>249</v>
      </c>
      <c r="E133" s="87"/>
      <c r="F133" s="200" t="s">
        <v>164</v>
      </c>
      <c r="G133" s="4"/>
      <c r="H133" s="85"/>
    </row>
    <row r="134" spans="2:8" ht="29.1" customHeight="1">
      <c r="C134" s="93" t="s">
        <v>107</v>
      </c>
      <c r="D134" s="94" t="s">
        <v>250</v>
      </c>
      <c r="E134" s="87"/>
      <c r="F134" s="200" t="s">
        <v>164</v>
      </c>
      <c r="G134" s="4"/>
      <c r="H134" s="85"/>
    </row>
    <row r="135" spans="2:8" ht="29.1" customHeight="1">
      <c r="C135" s="93" t="s">
        <v>108</v>
      </c>
      <c r="D135" s="94" t="s">
        <v>251</v>
      </c>
      <c r="E135" s="87"/>
      <c r="F135" s="200" t="s">
        <v>164</v>
      </c>
      <c r="G135" s="4"/>
      <c r="H135" s="85"/>
    </row>
    <row r="136" spans="2:8" ht="13.5">
      <c r="B136" s="85"/>
      <c r="C136" s="85"/>
      <c r="D136" s="95"/>
      <c r="E136" s="95" t="s">
        <v>174</v>
      </c>
      <c r="F136" s="96" t="str">
        <f>IF(F130="Yes",COUNTIF(F132:F135,"Yes") &amp;" of " &amp;COUNTIF(B132:C135,"*"),"-")</f>
        <v>-</v>
      </c>
      <c r="G136" s="97"/>
      <c r="H136" s="85"/>
    </row>
    <row r="137" spans="2:8" ht="13.5">
      <c r="B137" s="85"/>
      <c r="C137" s="85"/>
      <c r="D137" s="95"/>
      <c r="E137" s="2"/>
      <c r="F137" s="107"/>
      <c r="G137" s="97"/>
      <c r="H137" s="85"/>
    </row>
    <row r="138" spans="2:8" s="69" customFormat="1" ht="18" customHeight="1">
      <c r="B138" s="67"/>
      <c r="C138" s="235" t="s">
        <v>252</v>
      </c>
      <c r="D138" s="235"/>
      <c r="E138" s="235"/>
      <c r="F138" s="235"/>
      <c r="G138" s="64"/>
      <c r="H138" s="68"/>
    </row>
    <row r="139" spans="2:8" ht="6.75" customHeight="1">
      <c r="B139" s="85"/>
      <c r="C139" s="85"/>
      <c r="D139" s="95"/>
      <c r="E139" s="6"/>
      <c r="F139" s="107"/>
      <c r="G139" s="97"/>
      <c r="H139" s="85"/>
    </row>
    <row r="140" spans="2:8" ht="22.35" customHeight="1">
      <c r="B140" s="72"/>
      <c r="C140" s="73" t="s">
        <v>253</v>
      </c>
      <c r="D140" s="73"/>
      <c r="E140" s="74" t="str">
        <f>IF(Tabulations!E13=1, MAX(Tabulations!V13:AA13), 0) &amp;" of"</f>
        <v>0 of</v>
      </c>
      <c r="F140" s="73" t="str">
        <f>Tabulations!S13&amp;" Points"</f>
        <v>18 Points</v>
      </c>
      <c r="G140" s="73"/>
      <c r="H140" s="75"/>
    </row>
    <row r="141" spans="2:8" ht="29.1" customHeight="1">
      <c r="B141" s="76"/>
      <c r="C141" s="236" t="s">
        <v>254</v>
      </c>
      <c r="D141" s="237"/>
      <c r="E141" s="237"/>
      <c r="F141" s="237"/>
      <c r="G141" s="77"/>
      <c r="H141" s="78"/>
    </row>
    <row r="142" spans="2:8" ht="29.1" customHeight="1">
      <c r="B142" s="79"/>
      <c r="C142" s="244" t="s">
        <v>255</v>
      </c>
      <c r="D142" s="239"/>
      <c r="E142" s="239"/>
      <c r="F142" s="239"/>
      <c r="G142" s="80"/>
      <c r="H142" s="78"/>
    </row>
    <row r="143" spans="2:8" ht="44.1" customHeight="1">
      <c r="B143" s="79"/>
      <c r="C143" s="238" t="s">
        <v>256</v>
      </c>
      <c r="D143" s="239"/>
      <c r="E143" s="239"/>
      <c r="F143" s="239"/>
      <c r="G143" s="80"/>
      <c r="H143" s="78"/>
    </row>
    <row r="144" spans="2:8" ht="18" customHeight="1">
      <c r="B144" s="81"/>
      <c r="C144" s="240"/>
      <c r="D144" s="241"/>
      <c r="E144" s="102"/>
      <c r="F144" s="83" t="s">
        <v>103</v>
      </c>
      <c r="G144" s="84"/>
      <c r="H144" s="78"/>
    </row>
    <row r="145" spans="2:8" ht="29.1" customHeight="1">
      <c r="B145" s="85"/>
      <c r="C145" s="86"/>
      <c r="D145" s="86" t="s">
        <v>163</v>
      </c>
      <c r="E145" s="86"/>
      <c r="F145" s="200" t="s">
        <v>164</v>
      </c>
      <c r="G145" s="1"/>
      <c r="H145" s="85"/>
    </row>
    <row r="146" spans="2:8" ht="20.100000000000001" customHeight="1">
      <c r="B146" s="89"/>
      <c r="C146" s="245" t="s">
        <v>165</v>
      </c>
      <c r="D146" s="246"/>
      <c r="E146" s="104"/>
      <c r="F146" s="198" t="s">
        <v>166</v>
      </c>
      <c r="G146" s="92"/>
      <c r="H146" s="78"/>
    </row>
    <row r="147" spans="2:8" ht="29.1" customHeight="1">
      <c r="C147" s="93" t="s">
        <v>105</v>
      </c>
      <c r="D147" s="94" t="s">
        <v>257</v>
      </c>
      <c r="E147" s="87"/>
      <c r="F147" s="200" t="s">
        <v>164</v>
      </c>
      <c r="G147" s="4"/>
      <c r="H147" s="85"/>
    </row>
    <row r="148" spans="2:8" ht="29.1" customHeight="1">
      <c r="C148" s="93" t="s">
        <v>106</v>
      </c>
      <c r="D148" s="94" t="s">
        <v>258</v>
      </c>
      <c r="E148" s="87"/>
      <c r="F148" s="200" t="s">
        <v>164</v>
      </c>
      <c r="G148" s="4"/>
      <c r="H148" s="85"/>
    </row>
    <row r="149" spans="2:8" ht="29.1" customHeight="1">
      <c r="C149" s="93" t="s">
        <v>107</v>
      </c>
      <c r="D149" s="94" t="s">
        <v>259</v>
      </c>
      <c r="E149" s="87"/>
      <c r="F149" s="200" t="s">
        <v>164</v>
      </c>
      <c r="G149" s="4"/>
      <c r="H149" s="85"/>
    </row>
    <row r="150" spans="2:8" ht="29.1" customHeight="1">
      <c r="C150" s="93" t="s">
        <v>108</v>
      </c>
      <c r="D150" s="94" t="s">
        <v>260</v>
      </c>
      <c r="E150" s="87"/>
      <c r="F150" s="200" t="s">
        <v>164</v>
      </c>
      <c r="G150" s="4"/>
      <c r="H150" s="85"/>
    </row>
    <row r="151" spans="2:8" ht="29.1" customHeight="1">
      <c r="C151" s="93" t="s">
        <v>109</v>
      </c>
      <c r="D151" s="94" t="s">
        <v>261</v>
      </c>
      <c r="E151" s="87"/>
      <c r="F151" s="200" t="s">
        <v>164</v>
      </c>
      <c r="G151" s="4"/>
      <c r="H151" s="85"/>
    </row>
    <row r="152" spans="2:8" ht="29.1" customHeight="1">
      <c r="C152" s="93" t="s">
        <v>110</v>
      </c>
      <c r="D152" s="94" t="s">
        <v>262</v>
      </c>
      <c r="E152" s="87"/>
      <c r="F152" s="200" t="s">
        <v>164</v>
      </c>
      <c r="G152" s="4"/>
      <c r="H152" s="85"/>
    </row>
    <row r="153" spans="2:8" ht="29.1" customHeight="1">
      <c r="C153" s="93" t="s">
        <v>111</v>
      </c>
      <c r="D153" s="94" t="s">
        <v>263</v>
      </c>
      <c r="E153" s="87"/>
      <c r="F153" s="200" t="s">
        <v>164</v>
      </c>
      <c r="G153" s="4"/>
      <c r="H153" s="85"/>
    </row>
    <row r="154" spans="2:8" ht="13.5">
      <c r="B154" s="85"/>
      <c r="C154" s="85"/>
      <c r="D154" s="95"/>
      <c r="E154" s="95" t="s">
        <v>174</v>
      </c>
      <c r="F154" s="96" t="str">
        <f>IF(F145="Yes",COUNTIF(F147:F153,"Yes") &amp;" of " &amp;COUNTIF(B147:C153,"*"),"-")</f>
        <v>-</v>
      </c>
      <c r="G154" s="97"/>
      <c r="H154" s="85"/>
    </row>
    <row r="155" spans="2:8" ht="6.75" customHeight="1">
      <c r="B155" s="85"/>
      <c r="C155" s="85"/>
      <c r="D155" s="95"/>
      <c r="E155" s="6"/>
      <c r="F155" s="107"/>
      <c r="G155" s="97"/>
      <c r="H155" s="85"/>
    </row>
    <row r="156" spans="2:8" ht="22.35" customHeight="1">
      <c r="B156" s="72"/>
      <c r="C156" s="73" t="s">
        <v>264</v>
      </c>
      <c r="D156" s="73"/>
      <c r="E156" s="74" t="str">
        <f>IF(Tabulations!E14=1, MAX(Tabulations!V14:AA14), 0) &amp;" of"</f>
        <v>0 of</v>
      </c>
      <c r="F156" s="73" t="str">
        <f>Tabulations!S14&amp;" Points"</f>
        <v>18 Points</v>
      </c>
      <c r="G156" s="73"/>
      <c r="H156" s="75"/>
    </row>
    <row r="157" spans="2:8" ht="29.1" customHeight="1">
      <c r="B157" s="76"/>
      <c r="C157" s="236" t="s">
        <v>265</v>
      </c>
      <c r="D157" s="237"/>
      <c r="E157" s="237"/>
      <c r="F157" s="237"/>
      <c r="G157" s="77"/>
      <c r="H157" s="78"/>
    </row>
    <row r="158" spans="2:8" ht="29.1" customHeight="1">
      <c r="B158" s="79"/>
      <c r="C158" s="238" t="s">
        <v>266</v>
      </c>
      <c r="D158" s="239"/>
      <c r="E158" s="239"/>
      <c r="F158" s="239"/>
      <c r="G158" s="80"/>
      <c r="H158" s="78"/>
    </row>
    <row r="159" spans="2:8" ht="73.349999999999994" customHeight="1">
      <c r="B159" s="79"/>
      <c r="C159" s="238" t="s">
        <v>267</v>
      </c>
      <c r="D159" s="239"/>
      <c r="E159" s="239"/>
      <c r="F159" s="239"/>
      <c r="G159" s="80"/>
      <c r="H159" s="78"/>
    </row>
    <row r="160" spans="2:8" ht="18" customHeight="1">
      <c r="B160" s="81"/>
      <c r="C160" s="240"/>
      <c r="D160" s="241"/>
      <c r="E160" s="102"/>
      <c r="F160" s="83" t="s">
        <v>103</v>
      </c>
      <c r="G160" s="84"/>
      <c r="H160" s="78"/>
    </row>
    <row r="161" spans="2:8" ht="29.1" customHeight="1">
      <c r="B161" s="85"/>
      <c r="C161" s="86"/>
      <c r="D161" s="86" t="s">
        <v>163</v>
      </c>
      <c r="E161" s="86"/>
      <c r="F161" s="200" t="s">
        <v>164</v>
      </c>
      <c r="G161" s="1"/>
      <c r="H161" s="85"/>
    </row>
    <row r="162" spans="2:8" ht="20.100000000000001" customHeight="1">
      <c r="B162" s="89"/>
      <c r="C162" s="242" t="s">
        <v>165</v>
      </c>
      <c r="D162" s="243"/>
      <c r="E162" s="104"/>
      <c r="F162" s="91" t="s">
        <v>166</v>
      </c>
      <c r="G162" s="92"/>
      <c r="H162" s="78"/>
    </row>
    <row r="163" spans="2:8" ht="29.1" customHeight="1">
      <c r="C163" s="93" t="s">
        <v>105</v>
      </c>
      <c r="D163" s="94" t="s">
        <v>268</v>
      </c>
      <c r="E163" s="87"/>
      <c r="F163" s="200" t="s">
        <v>164</v>
      </c>
      <c r="G163" s="4"/>
      <c r="H163" s="85"/>
    </row>
    <row r="164" spans="2:8" ht="29.1" customHeight="1">
      <c r="C164" s="93" t="s">
        <v>106</v>
      </c>
      <c r="D164" s="94" t="s">
        <v>269</v>
      </c>
      <c r="E164" s="87"/>
      <c r="F164" s="200" t="s">
        <v>164</v>
      </c>
      <c r="G164" s="4"/>
      <c r="H164" s="85"/>
    </row>
    <row r="165" spans="2:8" ht="29.1" customHeight="1">
      <c r="C165" s="93" t="s">
        <v>107</v>
      </c>
      <c r="D165" s="94" t="s">
        <v>270</v>
      </c>
      <c r="E165" s="87"/>
      <c r="F165" s="200" t="s">
        <v>164</v>
      </c>
      <c r="G165" s="4"/>
      <c r="H165" s="85"/>
    </row>
    <row r="166" spans="2:8" ht="29.1" customHeight="1">
      <c r="C166" s="93" t="s">
        <v>108</v>
      </c>
      <c r="D166" s="94" t="s">
        <v>271</v>
      </c>
      <c r="E166" s="87"/>
      <c r="F166" s="200" t="s">
        <v>164</v>
      </c>
      <c r="G166" s="4"/>
      <c r="H166" s="85"/>
    </row>
    <row r="167" spans="2:8" ht="29.1" customHeight="1">
      <c r="C167" s="93" t="s">
        <v>109</v>
      </c>
      <c r="D167" s="94" t="s">
        <v>272</v>
      </c>
      <c r="E167" s="87"/>
      <c r="F167" s="200" t="s">
        <v>164</v>
      </c>
      <c r="G167" s="4"/>
      <c r="H167" s="85"/>
    </row>
    <row r="168" spans="2:8" ht="29.1" customHeight="1">
      <c r="C168" s="93" t="s">
        <v>110</v>
      </c>
      <c r="D168" s="94" t="s">
        <v>273</v>
      </c>
      <c r="E168" s="87"/>
      <c r="F168" s="200" t="s">
        <v>164</v>
      </c>
      <c r="G168" s="4"/>
      <c r="H168" s="85"/>
    </row>
    <row r="169" spans="2:8" ht="13.5">
      <c r="B169" s="85"/>
      <c r="C169" s="85"/>
      <c r="D169" s="95"/>
      <c r="E169" s="95" t="s">
        <v>174</v>
      </c>
      <c r="F169" s="96" t="str">
        <f>IF(F161="Yes",COUNTIF(F163:F168,"Yes") &amp;" of " &amp;COUNTIF(B163:C168,"*"),"-")</f>
        <v>-</v>
      </c>
      <c r="G169" s="97"/>
      <c r="H169" s="85"/>
    </row>
    <row r="170" spans="2:8" ht="6.75" customHeight="1">
      <c r="B170" s="85"/>
      <c r="C170" s="85"/>
      <c r="D170" s="95"/>
      <c r="E170" s="6"/>
      <c r="F170" s="107"/>
      <c r="G170" s="97"/>
      <c r="H170" s="85"/>
    </row>
    <row r="171" spans="2:8" ht="22.35" customHeight="1">
      <c r="B171" s="72"/>
      <c r="C171" s="73" t="s">
        <v>274</v>
      </c>
      <c r="D171" s="73"/>
      <c r="E171" s="74" t="str">
        <f>IF(Tabulations!E15=1, MAX(Tabulations!V15:AA15), 0) &amp;" of"</f>
        <v>0 of</v>
      </c>
      <c r="F171" s="73" t="str">
        <f>Tabulations!S15&amp;" Points"</f>
        <v>14 Points</v>
      </c>
      <c r="G171" s="73"/>
      <c r="H171" s="75"/>
    </row>
    <row r="172" spans="2:8" ht="29.1" customHeight="1">
      <c r="B172" s="76"/>
      <c r="C172" s="236" t="s">
        <v>275</v>
      </c>
      <c r="D172" s="237"/>
      <c r="E172" s="237"/>
      <c r="F172" s="237"/>
      <c r="G172" s="77"/>
      <c r="H172" s="78"/>
    </row>
    <row r="173" spans="2:8" ht="29.1" customHeight="1">
      <c r="B173" s="79"/>
      <c r="C173" s="238" t="s">
        <v>276</v>
      </c>
      <c r="D173" s="239"/>
      <c r="E173" s="239"/>
      <c r="F173" s="239"/>
      <c r="G173" s="80"/>
      <c r="H173" s="78"/>
    </row>
    <row r="174" spans="2:8" ht="47.1" customHeight="1">
      <c r="B174" s="79"/>
      <c r="C174" s="238" t="s">
        <v>277</v>
      </c>
      <c r="D174" s="239"/>
      <c r="E174" s="239"/>
      <c r="F174" s="239"/>
      <c r="G174" s="80"/>
      <c r="H174" s="78"/>
    </row>
    <row r="175" spans="2:8" ht="18" customHeight="1">
      <c r="B175" s="81"/>
      <c r="C175" s="240"/>
      <c r="D175" s="241"/>
      <c r="E175" s="102"/>
      <c r="F175" s="83" t="s">
        <v>103</v>
      </c>
      <c r="G175" s="84"/>
      <c r="H175" s="78"/>
    </row>
    <row r="176" spans="2:8" ht="29.1" customHeight="1">
      <c r="B176" s="85"/>
      <c r="C176" s="86"/>
      <c r="D176" s="86" t="s">
        <v>163</v>
      </c>
      <c r="E176" s="86"/>
      <c r="F176" s="200" t="s">
        <v>164</v>
      </c>
      <c r="G176" s="1"/>
      <c r="H176" s="85"/>
    </row>
    <row r="177" spans="2:8" ht="20.100000000000001" customHeight="1">
      <c r="B177" s="89"/>
      <c r="C177" s="242" t="s">
        <v>165</v>
      </c>
      <c r="D177" s="243"/>
      <c r="E177" s="104"/>
      <c r="F177" s="91" t="s">
        <v>166</v>
      </c>
      <c r="G177" s="92"/>
      <c r="H177" s="78"/>
    </row>
    <row r="178" spans="2:8" ht="28.35" customHeight="1">
      <c r="C178" s="93" t="s">
        <v>105</v>
      </c>
      <c r="D178" s="94" t="s">
        <v>278</v>
      </c>
      <c r="E178" s="87"/>
      <c r="F178" s="200" t="s">
        <v>164</v>
      </c>
      <c r="G178" s="4"/>
      <c r="H178" s="85"/>
    </row>
    <row r="179" spans="2:8" ht="28.35" customHeight="1">
      <c r="C179" s="93" t="s">
        <v>106</v>
      </c>
      <c r="D179" s="94" t="s">
        <v>279</v>
      </c>
      <c r="E179" s="87"/>
      <c r="F179" s="200" t="s">
        <v>164</v>
      </c>
      <c r="G179" s="4"/>
      <c r="H179" s="85"/>
    </row>
    <row r="180" spans="2:8" ht="28.35" customHeight="1">
      <c r="C180" s="93" t="s">
        <v>107</v>
      </c>
      <c r="D180" s="94" t="s">
        <v>280</v>
      </c>
      <c r="E180" s="87"/>
      <c r="F180" s="200" t="s">
        <v>164</v>
      </c>
      <c r="G180" s="4"/>
      <c r="H180" s="85"/>
    </row>
    <row r="181" spans="2:8" ht="28.35" customHeight="1">
      <c r="C181" s="93" t="s">
        <v>108</v>
      </c>
      <c r="D181" s="94" t="s">
        <v>281</v>
      </c>
      <c r="E181" s="87"/>
      <c r="F181" s="200" t="s">
        <v>164</v>
      </c>
      <c r="G181" s="4"/>
      <c r="H181" s="85"/>
    </row>
    <row r="182" spans="2:8" ht="28.35" customHeight="1">
      <c r="C182" s="93" t="s">
        <v>109</v>
      </c>
      <c r="D182" s="94" t="s">
        <v>282</v>
      </c>
      <c r="E182" s="87"/>
      <c r="F182" s="200" t="s">
        <v>164</v>
      </c>
      <c r="G182" s="4"/>
      <c r="H182" s="85"/>
    </row>
    <row r="183" spans="2:8" ht="28.35" customHeight="1">
      <c r="C183" s="93" t="s">
        <v>110</v>
      </c>
      <c r="D183" s="94" t="s">
        <v>283</v>
      </c>
      <c r="E183" s="87"/>
      <c r="F183" s="200" t="s">
        <v>164</v>
      </c>
      <c r="G183" s="4"/>
      <c r="H183" s="85"/>
    </row>
    <row r="184" spans="2:8" ht="13.5">
      <c r="B184" s="85"/>
      <c r="C184" s="85"/>
      <c r="D184" s="95"/>
      <c r="E184" s="95" t="s">
        <v>174</v>
      </c>
      <c r="F184" s="96" t="str">
        <f>IF(F176="Yes",COUNTIF(F178:F183,"Yes") &amp;" of " &amp;COUNTIF(B178:C183,"*"),"-")</f>
        <v>-</v>
      </c>
      <c r="G184" s="97"/>
      <c r="H184" s="85"/>
    </row>
    <row r="185" spans="2:8" ht="6.75" customHeight="1">
      <c r="B185" s="85"/>
      <c r="C185" s="85"/>
      <c r="D185" s="95"/>
      <c r="E185" s="6"/>
      <c r="F185" s="107"/>
      <c r="G185" s="97"/>
      <c r="H185" s="85"/>
    </row>
    <row r="186" spans="2:8" ht="22.35" customHeight="1">
      <c r="B186" s="72"/>
      <c r="C186" s="73" t="s">
        <v>284</v>
      </c>
      <c r="D186" s="73"/>
      <c r="E186" s="74" t="str">
        <f>IF(Tabulations!E16=1, MAX(Tabulations!V16:AA16), 0) &amp;" of"</f>
        <v>0 of</v>
      </c>
      <c r="F186" s="73" t="str">
        <f>Tabulations!S16&amp;" Points"</f>
        <v>14 Points</v>
      </c>
      <c r="G186" s="73"/>
      <c r="H186" s="75"/>
    </row>
    <row r="187" spans="2:8" ht="29.1" customHeight="1">
      <c r="B187" s="76"/>
      <c r="C187" s="236" t="s">
        <v>285</v>
      </c>
      <c r="D187" s="237"/>
      <c r="E187" s="237"/>
      <c r="F187" s="237"/>
      <c r="G187" s="77"/>
      <c r="H187" s="78"/>
    </row>
    <row r="188" spans="2:8" ht="29.1" customHeight="1">
      <c r="B188" s="79"/>
      <c r="C188" s="238" t="s">
        <v>286</v>
      </c>
      <c r="D188" s="239"/>
      <c r="E188" s="239"/>
      <c r="F188" s="239"/>
      <c r="G188" s="80"/>
      <c r="H188" s="78"/>
    </row>
    <row r="189" spans="2:8" ht="90" customHeight="1">
      <c r="B189" s="79"/>
      <c r="C189" s="238" t="s">
        <v>287</v>
      </c>
      <c r="D189" s="239"/>
      <c r="E189" s="239"/>
      <c r="F189" s="239"/>
      <c r="G189" s="80"/>
      <c r="H189" s="78"/>
    </row>
    <row r="190" spans="2:8" ht="18" customHeight="1">
      <c r="B190" s="81"/>
      <c r="C190" s="240"/>
      <c r="D190" s="241"/>
      <c r="E190" s="102"/>
      <c r="F190" s="83" t="s">
        <v>103</v>
      </c>
      <c r="G190" s="84"/>
      <c r="H190" s="78"/>
    </row>
    <row r="191" spans="2:8" ht="29.1" customHeight="1">
      <c r="B191" s="85"/>
      <c r="C191" s="86"/>
      <c r="D191" s="86" t="s">
        <v>163</v>
      </c>
      <c r="E191" s="86"/>
      <c r="F191" s="200" t="s">
        <v>164</v>
      </c>
      <c r="G191" s="1"/>
      <c r="H191" s="85"/>
    </row>
    <row r="192" spans="2:8" ht="20.100000000000001" customHeight="1">
      <c r="B192" s="89"/>
      <c r="C192" s="242" t="s">
        <v>165</v>
      </c>
      <c r="D192" s="243"/>
      <c r="E192" s="104"/>
      <c r="F192" s="91" t="s">
        <v>166</v>
      </c>
      <c r="G192" s="92"/>
      <c r="H192" s="78"/>
    </row>
    <row r="193" spans="2:8" ht="29.1" customHeight="1">
      <c r="C193" s="93" t="s">
        <v>105</v>
      </c>
      <c r="D193" s="94" t="s">
        <v>288</v>
      </c>
      <c r="E193" s="87"/>
      <c r="F193" s="200" t="s">
        <v>164</v>
      </c>
      <c r="G193" s="4"/>
      <c r="H193" s="85"/>
    </row>
    <row r="194" spans="2:8" ht="29.1" customHeight="1">
      <c r="C194" s="93" t="s">
        <v>106</v>
      </c>
      <c r="D194" s="94" t="s">
        <v>289</v>
      </c>
      <c r="E194" s="87"/>
      <c r="F194" s="200" t="s">
        <v>164</v>
      </c>
      <c r="G194" s="4"/>
      <c r="H194" s="85"/>
    </row>
    <row r="195" spans="2:8" ht="29.1" customHeight="1">
      <c r="C195" s="93" t="s">
        <v>107</v>
      </c>
      <c r="D195" s="94" t="s">
        <v>290</v>
      </c>
      <c r="E195" s="87"/>
      <c r="F195" s="200" t="s">
        <v>164</v>
      </c>
      <c r="G195" s="4"/>
      <c r="H195" s="85"/>
    </row>
    <row r="196" spans="2:8" ht="29.1" customHeight="1">
      <c r="C196" s="93" t="s">
        <v>108</v>
      </c>
      <c r="D196" s="94" t="s">
        <v>291</v>
      </c>
      <c r="E196" s="87">
        <f>VLOOKUP(D197,lookup!E11:F14,2,FALSE)</f>
        <v>2</v>
      </c>
      <c r="F196" s="88" t="str">
        <f>IF(F191="-","-",IF(D197="none","No","Yes"))</f>
        <v>-</v>
      </c>
      <c r="G196" s="4"/>
      <c r="H196" s="85"/>
    </row>
    <row r="197" spans="2:8" ht="29.1" customHeight="1">
      <c r="C197" s="93"/>
      <c r="D197" s="201" t="s">
        <v>204</v>
      </c>
      <c r="E197" s="87"/>
      <c r="F197" s="87"/>
      <c r="G197" s="4"/>
      <c r="H197" s="85"/>
    </row>
    <row r="198" spans="2:8" ht="13.5">
      <c r="B198" s="85"/>
      <c r="C198" s="85"/>
      <c r="D198" s="95"/>
      <c r="E198" s="95" t="s">
        <v>174</v>
      </c>
      <c r="F198" s="96" t="str">
        <f>IF(F191="Yes",COUNTIF(F193:F197,"Yes") &amp;" of " &amp;COUNTIF(B193:C197,"*"),"-")</f>
        <v>-</v>
      </c>
      <c r="G198" s="97"/>
      <c r="H198" s="85"/>
    </row>
    <row r="199" spans="2:8" ht="6.75" customHeight="1">
      <c r="B199" s="85"/>
      <c r="C199" s="85"/>
      <c r="D199" s="95"/>
      <c r="E199" s="6"/>
      <c r="F199" s="107"/>
      <c r="G199" s="97"/>
      <c r="H199" s="85"/>
    </row>
  </sheetData>
  <sheetProtection sheet="1" objects="1" scenarios="1"/>
  <mergeCells count="68">
    <mergeCell ref="C128:F128"/>
    <mergeCell ref="C129:D129"/>
    <mergeCell ref="C131:D131"/>
    <mergeCell ref="C103:D103"/>
    <mergeCell ref="C113:F113"/>
    <mergeCell ref="C114:F114"/>
    <mergeCell ref="C115:F115"/>
    <mergeCell ref="C116:D116"/>
    <mergeCell ref="C118:D118"/>
    <mergeCell ref="C126:F126"/>
    <mergeCell ref="C127:F127"/>
    <mergeCell ref="C98:F98"/>
    <mergeCell ref="C99:F99"/>
    <mergeCell ref="C101:D101"/>
    <mergeCell ref="C81:F81"/>
    <mergeCell ref="C82:F82"/>
    <mergeCell ref="C83:F83"/>
    <mergeCell ref="C84:D84"/>
    <mergeCell ref="C86:D86"/>
    <mergeCell ref="C95:F95"/>
    <mergeCell ref="C100:F100"/>
    <mergeCell ref="C23:F23"/>
    <mergeCell ref="C24:F24"/>
    <mergeCell ref="C25:D25"/>
    <mergeCell ref="C27:D27"/>
    <mergeCell ref="C66:F66"/>
    <mergeCell ref="C37:F37"/>
    <mergeCell ref="C38:F38"/>
    <mergeCell ref="C39:F39"/>
    <mergeCell ref="C40:D40"/>
    <mergeCell ref="C42:D42"/>
    <mergeCell ref="C51:F51"/>
    <mergeCell ref="C71:D71"/>
    <mergeCell ref="C52:F52"/>
    <mergeCell ref="C53:F53"/>
    <mergeCell ref="C54:D54"/>
    <mergeCell ref="C56:D56"/>
    <mergeCell ref="C67:F67"/>
    <mergeCell ref="C68:F68"/>
    <mergeCell ref="C69:D69"/>
    <mergeCell ref="C3:F3"/>
    <mergeCell ref="C6:F6"/>
    <mergeCell ref="C7:F7"/>
    <mergeCell ref="C8:F8"/>
    <mergeCell ref="C22:F22"/>
    <mergeCell ref="C9:D9"/>
    <mergeCell ref="C11:D11"/>
    <mergeCell ref="C192:D192"/>
    <mergeCell ref="C172:F172"/>
    <mergeCell ref="C173:F173"/>
    <mergeCell ref="C174:F174"/>
    <mergeCell ref="C175:D175"/>
    <mergeCell ref="C177:D177"/>
    <mergeCell ref="C138:F138"/>
    <mergeCell ref="C187:F187"/>
    <mergeCell ref="C188:F188"/>
    <mergeCell ref="C189:F189"/>
    <mergeCell ref="C190:D190"/>
    <mergeCell ref="C157:F157"/>
    <mergeCell ref="C158:F158"/>
    <mergeCell ref="C159:F159"/>
    <mergeCell ref="C160:D160"/>
    <mergeCell ref="C162:D162"/>
    <mergeCell ref="C141:F141"/>
    <mergeCell ref="C142:F142"/>
    <mergeCell ref="C143:F143"/>
    <mergeCell ref="C144:D144"/>
    <mergeCell ref="C146:D146"/>
  </mergeCells>
  <phoneticPr fontId="8" type="noConversion"/>
  <dataValidations xWindow="845" yWindow="451" count="1">
    <dataValidation allowBlank="1" showErrorMessage="1" sqref="F61" xr:uid="{00000000-0002-0000-0300-000000000000}"/>
  </dataValidations>
  <pageMargins left="0.5" right="0.5" top="0.75" bottom="0.5" header="0.3" footer="0"/>
  <pageSetup scale="90" orientation="portrait" r:id="rId1"/>
  <headerFooter differentFirst="1">
    <oddHeader>&amp;C&amp;"Open Sans Regular,Bold"&amp;9Envision Framework Pre-Assessment Checklist</oddHeader>
    <firstHeader>&amp;C&amp;"-,Bold"&amp;8Envision Rating System
Pre-Assessment Checklist</firstHeader>
  </headerFooter>
  <rowBreaks count="9" manualBreakCount="9">
    <brk id="20" min="1" max="6" man="1"/>
    <brk id="49" min="1" max="6" man="1"/>
    <brk id="64" min="1" max="6" man="1"/>
    <brk id="79" min="1" max="6" man="1"/>
    <brk id="94" min="1" max="6" man="1"/>
    <brk id="124" min="1" max="6" man="1"/>
    <brk id="136" min="1" max="6" man="1"/>
    <brk id="155" min="1" max="6" man="1"/>
    <brk id="170"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3465" r:id="rId4" name="Group Box 393">
              <controlPr defaultSize="0" autoFill="0" autoPict="0">
                <anchor moveWithCells="1">
                  <from>
                    <xdr:col>4</xdr:col>
                    <xdr:colOff>0</xdr:colOff>
                    <xdr:row>9</xdr:row>
                    <xdr:rowOff>0</xdr:rowOff>
                  </from>
                  <to>
                    <xdr:col>9</xdr:col>
                    <xdr:colOff>152400</xdr:colOff>
                    <xdr:row>10</xdr:row>
                    <xdr:rowOff>0</xdr:rowOff>
                  </to>
                </anchor>
              </controlPr>
            </control>
          </mc:Choice>
        </mc:AlternateContent>
        <mc:AlternateContent xmlns:mc="http://schemas.openxmlformats.org/markup-compatibility/2006">
          <mc:Choice Requires="x14">
            <control shapeId="3536" r:id="rId5" name="Group Box 464">
              <controlPr defaultSize="0" autoFill="0" autoPict="0">
                <anchor moveWithCells="1">
                  <from>
                    <xdr:col>5</xdr:col>
                    <xdr:colOff>0</xdr:colOff>
                    <xdr:row>9</xdr:row>
                    <xdr:rowOff>0</xdr:rowOff>
                  </from>
                  <to>
                    <xdr:col>11</xdr:col>
                    <xdr:colOff>142875</xdr:colOff>
                    <xdr:row>10</xdr:row>
                    <xdr:rowOff>0</xdr:rowOff>
                  </to>
                </anchor>
              </controlPr>
            </control>
          </mc:Choice>
        </mc:AlternateContent>
        <mc:AlternateContent xmlns:mc="http://schemas.openxmlformats.org/markup-compatibility/2006">
          <mc:Choice Requires="x14">
            <control shapeId="3565" r:id="rId6" name="Group Box 493">
              <controlPr defaultSize="0" autoFill="0" autoPict="0">
                <anchor moveWithCells="1">
                  <from>
                    <xdr:col>5</xdr:col>
                    <xdr:colOff>0</xdr:colOff>
                    <xdr:row>9</xdr:row>
                    <xdr:rowOff>0</xdr:rowOff>
                  </from>
                  <to>
                    <xdr:col>11</xdr:col>
                    <xdr:colOff>142875</xdr:colOff>
                    <xdr:row>10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EDFEC53C-B8BB-421D-A09C-93DD6481B43F}">
            <xm:f>Tabulations!$E$4=2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B11:G11</xm:sqref>
        </x14:conditionalFormatting>
        <x14:conditionalFormatting xmlns:xm="http://schemas.microsoft.com/office/excel/2006/main">
          <x14:cfRule type="expression" priority="27" id="{0345E9CB-0E39-4A8A-BB17-D57D3B8D7480}">
            <xm:f>Tabulations!$E$4=2</xm:f>
            <x14:dxf>
              <font>
                <color theme="0" tint="-0.249977111117893"/>
              </font>
              <fill>
                <patternFill patternType="solid">
                  <fgColor indexed="64"/>
                  <bgColor theme="0" tint="-0.14999847407452621"/>
                </patternFill>
              </fill>
            </x14:dxf>
          </x14:cfRule>
          <xm:sqref>B12:G18</xm:sqref>
        </x14:conditionalFormatting>
        <x14:conditionalFormatting xmlns:xm="http://schemas.microsoft.com/office/excel/2006/main">
          <x14:cfRule type="expression" priority="87" id="{52520E02-4BDB-484C-85DE-8463FAAC68F8}">
            <xm:f>Tabulations!$E$5=2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B27:G27</xm:sqref>
        </x14:conditionalFormatting>
        <x14:conditionalFormatting xmlns:xm="http://schemas.microsoft.com/office/excel/2006/main">
          <x14:cfRule type="expression" priority="83" id="{23F37281-8141-4806-8301-CD75CA0BBF47}">
            <xm:f>Tabulations!$E$5=2</xm:f>
            <x14:dxf>
              <font>
                <color theme="0" tint="-0.249977111117893"/>
              </font>
              <fill>
                <patternFill patternType="solid">
                  <fgColor indexed="64"/>
                  <bgColor theme="0" tint="-0.14999847407452621"/>
                </patternFill>
              </fill>
            </x14:dxf>
          </x14:cfRule>
          <xm:sqref>B28:G33</xm:sqref>
        </x14:conditionalFormatting>
        <x14:conditionalFormatting xmlns:xm="http://schemas.microsoft.com/office/excel/2006/main">
          <x14:cfRule type="expression" priority="78" id="{BE972CE9-BBD8-44ED-B4DB-D104C524E507}">
            <xm:f>Tabulations!$E$6=2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B42:G42</xm:sqref>
        </x14:conditionalFormatting>
        <x14:conditionalFormatting xmlns:xm="http://schemas.microsoft.com/office/excel/2006/main">
          <x14:cfRule type="expression" priority="79" id="{D80161AB-9E43-44E8-A2FB-B28FBA0C1E5A}">
            <xm:f>Tabulations!$E$6=2</xm:f>
            <x14:dxf>
              <font>
                <color theme="0" tint="-0.249977111117893"/>
              </font>
              <fill>
                <patternFill patternType="solid">
                  <fgColor indexed="64"/>
                  <bgColor theme="0" tint="-0.14999847407452621"/>
                </patternFill>
              </fill>
            </x14:dxf>
          </x14:cfRule>
          <xm:sqref>B43:G47</xm:sqref>
        </x14:conditionalFormatting>
        <x14:conditionalFormatting xmlns:xm="http://schemas.microsoft.com/office/excel/2006/main">
          <x14:cfRule type="expression" priority="77" id="{6348046D-6B9B-4055-8F21-9154B52BDC52}">
            <xm:f>Tabulations!$E$7=2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B56:G56</xm:sqref>
        </x14:conditionalFormatting>
        <x14:conditionalFormatting xmlns:xm="http://schemas.microsoft.com/office/excel/2006/main">
          <x14:cfRule type="expression" priority="76" id="{7EBD461F-1C58-49B7-9ECE-2E4B98FB5526}">
            <xm:f>Tabulations!$E$7=2</xm:f>
            <x14:dxf>
              <font>
                <color theme="0" tint="-0.249977111117893"/>
              </font>
              <fill>
                <patternFill patternType="solid">
                  <fgColor indexed="64"/>
                  <bgColor theme="0" tint="-0.14999847407452621"/>
                </patternFill>
              </fill>
            </x14:dxf>
          </x14:cfRule>
          <xm:sqref>B57:G62</xm:sqref>
        </x14:conditionalFormatting>
        <x14:conditionalFormatting xmlns:xm="http://schemas.microsoft.com/office/excel/2006/main">
          <x14:cfRule type="expression" priority="73" id="{2902C912-C1C8-4CEC-9140-415A5B4E5E06}">
            <xm:f>Tabulations!$E$8=2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B71:G71</xm:sqref>
        </x14:conditionalFormatting>
        <x14:conditionalFormatting xmlns:xm="http://schemas.microsoft.com/office/excel/2006/main">
          <x14:cfRule type="expression" priority="71" id="{91F6B5AC-FA24-4FEF-80BD-9A92840D36DB}">
            <xm:f>Tabulations!$E$8=2</xm:f>
            <x14:dxf>
              <font>
                <color theme="0" tint="-0.249977111117893"/>
              </font>
              <fill>
                <patternFill patternType="solid">
                  <fgColor indexed="64"/>
                  <bgColor theme="0" tint="-0.14999847407452621"/>
                </patternFill>
              </fill>
            </x14:dxf>
          </x14:cfRule>
          <xm:sqref>B72:G77</xm:sqref>
        </x14:conditionalFormatting>
        <x14:conditionalFormatting xmlns:xm="http://schemas.microsoft.com/office/excel/2006/main">
          <x14:cfRule type="expression" priority="69" id="{16B53C08-8246-4EFD-82D3-C344C5E5E52F}">
            <xm:f>Tabulations!$E$9=2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B86:G86</xm:sqref>
        </x14:conditionalFormatting>
        <x14:conditionalFormatting xmlns:xm="http://schemas.microsoft.com/office/excel/2006/main">
          <x14:cfRule type="expression" priority="1" id="{53697CAA-8ACB-40D1-A9A5-83523307C059}">
            <xm:f>Tabulations!$E$9=2</xm:f>
            <x14:dxf>
              <font>
                <color theme="0" tint="-0.249977111117893"/>
              </font>
              <fill>
                <patternFill patternType="solid">
                  <fgColor indexed="64"/>
                  <bgColor theme="0" tint="-0.14999847407452621"/>
                </patternFill>
              </fill>
            </x14:dxf>
          </x14:cfRule>
          <xm:sqref>B87:G92</xm:sqref>
        </x14:conditionalFormatting>
        <x14:conditionalFormatting xmlns:xm="http://schemas.microsoft.com/office/excel/2006/main">
          <x14:cfRule type="expression" priority="65" id="{E64FD063-19B6-4F0C-9EA9-74AC94F4CF47}">
            <xm:f>Tabulations!$E$10=2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B103:G103</xm:sqref>
        </x14:conditionalFormatting>
        <x14:conditionalFormatting xmlns:xm="http://schemas.microsoft.com/office/excel/2006/main">
          <x14:cfRule type="expression" priority="63" id="{39C9231D-C6A1-4934-8075-1ACCA6633EF8}">
            <xm:f>Tabulations!$E$10=2</xm:f>
            <x14:dxf>
              <font>
                <color theme="0" tint="-0.249977111117893"/>
              </font>
              <fill>
                <patternFill patternType="solid">
                  <fgColor indexed="64"/>
                  <bgColor theme="0" tint="-0.14999847407452621"/>
                </patternFill>
              </fill>
            </x14:dxf>
          </x14:cfRule>
          <xm:sqref>B104:G109</xm:sqref>
        </x14:conditionalFormatting>
        <x14:conditionalFormatting xmlns:xm="http://schemas.microsoft.com/office/excel/2006/main">
          <x14:cfRule type="expression" priority="61" id="{4B1A21D8-D13D-4BBE-B26B-1983BE7DD18D}">
            <xm:f>Tabulations!$E$11=2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B118:G118</xm:sqref>
        </x14:conditionalFormatting>
        <x14:conditionalFormatting xmlns:xm="http://schemas.microsoft.com/office/excel/2006/main">
          <x14:cfRule type="expression" priority="59" id="{6780055A-61CC-4946-8AE5-0AF5725C92C0}">
            <xm:f>Tabulations!$E$11=2</xm:f>
            <x14:dxf>
              <font>
                <color theme="0" tint="-0.249977111117893"/>
              </font>
              <fill>
                <patternFill patternType="solid">
                  <fgColor indexed="64"/>
                  <bgColor theme="0" tint="-0.14999847407452621"/>
                </patternFill>
              </fill>
            </x14:dxf>
          </x14:cfRule>
          <xm:sqref>B119:G122</xm:sqref>
        </x14:conditionalFormatting>
        <x14:conditionalFormatting xmlns:xm="http://schemas.microsoft.com/office/excel/2006/main">
          <x14:cfRule type="expression" priority="57" id="{9FA185D9-2CAC-4D64-AEF7-5E5A3FC4BE6B}">
            <xm:f>Tabulations!$E$12=2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B131:G131</xm:sqref>
        </x14:conditionalFormatting>
        <x14:conditionalFormatting xmlns:xm="http://schemas.microsoft.com/office/excel/2006/main">
          <x14:cfRule type="expression" priority="55" id="{8C61C118-C803-4E8A-B713-EE55102023CB}">
            <xm:f>Tabulations!$E$12=2</xm:f>
            <x14:dxf>
              <font>
                <color theme="0" tint="-0.249977111117893"/>
              </font>
              <fill>
                <patternFill patternType="solid">
                  <fgColor indexed="64"/>
                  <bgColor theme="0" tint="-0.14999847407452621"/>
                </patternFill>
              </fill>
            </x14:dxf>
          </x14:cfRule>
          <xm:sqref>B132:G135</xm:sqref>
        </x14:conditionalFormatting>
        <x14:conditionalFormatting xmlns:xm="http://schemas.microsoft.com/office/excel/2006/main">
          <x14:cfRule type="expression" priority="53" id="{7FA61573-34A0-4A39-837A-E229D8F5FA46}">
            <xm:f>Tabulations!$E$13=2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B146:G146</xm:sqref>
        </x14:conditionalFormatting>
        <x14:conditionalFormatting xmlns:xm="http://schemas.microsoft.com/office/excel/2006/main">
          <x14:cfRule type="expression" priority="51" id="{3FA66A3A-CAEF-49C2-9BE9-90846C591F8F}">
            <xm:f>Tabulations!$E$13=2</xm:f>
            <x14:dxf>
              <font>
                <color theme="0" tint="-0.249977111117893"/>
              </font>
              <fill>
                <patternFill patternType="solid">
                  <fgColor indexed="64"/>
                  <bgColor theme="0" tint="-0.14999847407452621"/>
                </patternFill>
              </fill>
            </x14:dxf>
          </x14:cfRule>
          <xm:sqref>B147:G153</xm:sqref>
        </x14:conditionalFormatting>
        <x14:conditionalFormatting xmlns:xm="http://schemas.microsoft.com/office/excel/2006/main">
          <x14:cfRule type="expression" priority="49" id="{741C4524-7102-4A65-A85A-18F92103A849}">
            <xm:f>Tabulations!$E$14=2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B162:G162</xm:sqref>
        </x14:conditionalFormatting>
        <x14:conditionalFormatting xmlns:xm="http://schemas.microsoft.com/office/excel/2006/main">
          <x14:cfRule type="expression" priority="47" id="{2048BDCE-2C07-4600-977B-AA5C2B01E790}">
            <xm:f>Tabulations!$E$14=2</xm:f>
            <x14:dxf>
              <font>
                <color theme="0" tint="-0.249977111117893"/>
              </font>
              <fill>
                <patternFill patternType="solid">
                  <fgColor indexed="64"/>
                  <bgColor theme="0" tint="-0.14999847407452621"/>
                </patternFill>
              </fill>
            </x14:dxf>
          </x14:cfRule>
          <xm:sqref>B163:G168</xm:sqref>
        </x14:conditionalFormatting>
        <x14:conditionalFormatting xmlns:xm="http://schemas.microsoft.com/office/excel/2006/main">
          <x14:cfRule type="expression" priority="45" id="{EB8B1426-B30E-4592-9E7A-C5434B7986F8}">
            <xm:f>Tabulations!$E$15=2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B177:G177</xm:sqref>
        </x14:conditionalFormatting>
        <x14:conditionalFormatting xmlns:xm="http://schemas.microsoft.com/office/excel/2006/main">
          <x14:cfRule type="expression" priority="43" id="{4B4828FD-AAA2-4694-A142-91545E6D0C8B}">
            <xm:f>Tabulations!$E$15=2</xm:f>
            <x14:dxf>
              <font>
                <color theme="0" tint="-0.249977111117893"/>
              </font>
              <fill>
                <patternFill patternType="solid">
                  <fgColor indexed="64"/>
                  <bgColor theme="0" tint="-0.14999847407452621"/>
                </patternFill>
              </fill>
            </x14:dxf>
          </x14:cfRule>
          <xm:sqref>B178:G183</xm:sqref>
        </x14:conditionalFormatting>
        <x14:conditionalFormatting xmlns:xm="http://schemas.microsoft.com/office/excel/2006/main">
          <x14:cfRule type="expression" priority="41" id="{143C517F-3044-47F1-911C-5E22B5932F7E}">
            <xm:f>Tabulations!$E$16=2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B192:G192</xm:sqref>
        </x14:conditionalFormatting>
        <x14:conditionalFormatting xmlns:xm="http://schemas.microsoft.com/office/excel/2006/main">
          <x14:cfRule type="expression" priority="34" id="{82D65031-C906-4D2F-A3D1-896DB956EF15}">
            <xm:f>Tabulations!$E$16=2</xm:f>
            <x14:dxf>
              <font>
                <color theme="0" tint="-0.249977111117893"/>
              </font>
              <fill>
                <patternFill patternType="solid">
                  <fgColor indexed="64"/>
                  <bgColor theme="0" tint="-0.14999847407452621"/>
                </patternFill>
              </fill>
            </x14:dxf>
          </x14:cfRule>
          <xm:sqref>B193:G197</xm:sqref>
        </x14:conditionalFormatting>
      </x14:conditionalFormattings>
    </ext>
    <ext xmlns:x14="http://schemas.microsoft.com/office/spreadsheetml/2009/9/main" uri="{CCE6A557-97BC-4b89-ADB6-D9C93CAAB3DF}">
      <x14:dataValidations xmlns:xm="http://schemas.microsoft.com/office/excel/2006/main" xWindow="845" yWindow="451" count="3">
        <x14:dataValidation type="list" allowBlank="1" showInputMessage="1" showErrorMessage="1" xr:uid="{00000000-0002-0000-0300-000001000000}">
          <x14:formula1>
            <xm:f>lookup!$E$11:$E$14</xm:f>
          </x14:formula1>
          <xm:sqref>D197</xm:sqref>
        </x14:dataValidation>
        <x14:dataValidation type="list" allowBlank="1" showInputMessage="1" showErrorMessage="1" xr:uid="{00000000-0002-0000-0300-000002000000}">
          <x14:formula1>
            <xm:f>lookup!$B$3:$B$5</xm:f>
          </x14:formula1>
          <xm:sqref>F10 F12:F18 F26 F28:F33 F41 F43:F47 F55 F57:F60 F70 F72:F77 F85 F87:F92 F102 F104:F109 F117 F119:F122 F130 F132:F135 F145 F147:F153 F161 F163:F168 F176 F178:F183 F191 F193:F195</xm:sqref>
        </x14:dataValidation>
        <x14:dataValidation type="list" allowBlank="1" showInputMessage="1" showErrorMessage="1" xr:uid="{00000000-0002-0000-0300-000003000000}">
          <x14:formula1>
            <xm:f>lookup!$E$17:$E$19</xm:f>
          </x14:formula1>
          <xm:sqref>D62</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86E63"/>
  </sheetPr>
  <dimension ref="B1:J163"/>
  <sheetViews>
    <sheetView showGridLines="0" view="pageBreakPreview" zoomScaleNormal="150" zoomScaleSheetLayoutView="100" zoomScalePageLayoutView="150" workbookViewId="0">
      <selection activeCell="F10" sqref="F10"/>
    </sheetView>
  </sheetViews>
  <sheetFormatPr defaultColWidth="4.125" defaultRowHeight="15.75"/>
  <cols>
    <col min="1" max="1" width="1.5" style="57" customWidth="1"/>
    <col min="2" max="2" width="1.125" style="57" customWidth="1"/>
    <col min="3" max="3" width="3.125" style="57" customWidth="1"/>
    <col min="4" max="4" width="61" style="57" customWidth="1"/>
    <col min="5" max="5" width="8.625" style="59" customWidth="1"/>
    <col min="6" max="6" width="12.125" style="60" customWidth="1"/>
    <col min="7" max="7" width="2.625" style="61" customWidth="1"/>
    <col min="8" max="9" width="4.125" style="57"/>
    <col min="10" max="10" width="7.625" style="57" bestFit="1" customWidth="1"/>
    <col min="11" max="16384" width="4.125" style="57"/>
  </cols>
  <sheetData>
    <row r="1" spans="2:10" ht="42" customHeight="1">
      <c r="D1" s="109" t="s">
        <v>292</v>
      </c>
    </row>
    <row r="2" spans="2:10" s="66" customFormat="1" ht="13.35" customHeight="1">
      <c r="B2" s="62"/>
      <c r="C2" s="62"/>
      <c r="D2" s="62"/>
      <c r="E2" s="62"/>
      <c r="F2" s="63"/>
      <c r="G2" s="64"/>
      <c r="H2" s="65"/>
    </row>
    <row r="3" spans="2:10" s="69" customFormat="1" ht="18" customHeight="1">
      <c r="B3" s="67"/>
      <c r="C3" s="250" t="s">
        <v>293</v>
      </c>
      <c r="D3" s="250"/>
      <c r="E3" s="250"/>
      <c r="F3" s="250"/>
      <c r="G3" s="64"/>
      <c r="H3" s="68"/>
    </row>
    <row r="4" spans="2:10" s="69" customFormat="1" ht="7.35" customHeight="1">
      <c r="B4" s="67"/>
      <c r="C4" s="70"/>
      <c r="D4" s="70"/>
      <c r="E4" s="70"/>
      <c r="F4" s="71"/>
      <c r="G4" s="64"/>
      <c r="H4" s="68"/>
    </row>
    <row r="5" spans="2:10" ht="22.35" customHeight="1">
      <c r="B5" s="110"/>
      <c r="C5" s="111" t="s">
        <v>294</v>
      </c>
      <c r="D5" s="111"/>
      <c r="E5" s="112" t="str">
        <f>IF(Tabulations!E19=1, MAX(Tabulations!V19:AA19), 0) &amp;" of"</f>
        <v>0 of</v>
      </c>
      <c r="F5" s="111" t="str">
        <f>Tabulations!S19&amp;" Points"</f>
        <v>18 Points</v>
      </c>
      <c r="G5" s="111"/>
      <c r="H5" s="75"/>
      <c r="J5" s="69"/>
    </row>
    <row r="6" spans="2:10" ht="28.35" customHeight="1">
      <c r="B6" s="113"/>
      <c r="C6" s="251" t="s">
        <v>295</v>
      </c>
      <c r="D6" s="252"/>
      <c r="E6" s="252"/>
      <c r="F6" s="252"/>
      <c r="G6" s="114"/>
      <c r="H6" s="78"/>
      <c r="J6" s="69"/>
    </row>
    <row r="7" spans="2:10" ht="28.35" customHeight="1">
      <c r="B7" s="115"/>
      <c r="C7" s="253" t="s">
        <v>296</v>
      </c>
      <c r="D7" s="254"/>
      <c r="E7" s="254"/>
      <c r="F7" s="254"/>
      <c r="G7" s="116"/>
      <c r="H7" s="78"/>
    </row>
    <row r="8" spans="2:10" ht="28.35" customHeight="1">
      <c r="B8" s="115"/>
      <c r="C8" s="253" t="s">
        <v>297</v>
      </c>
      <c r="D8" s="254"/>
      <c r="E8" s="254"/>
      <c r="F8" s="254"/>
      <c r="G8" s="116"/>
      <c r="H8" s="78"/>
    </row>
    <row r="9" spans="2:10" ht="18" customHeight="1">
      <c r="B9" s="117"/>
      <c r="C9" s="255"/>
      <c r="D9" s="256"/>
      <c r="E9" s="118"/>
      <c r="F9" s="119" t="s">
        <v>103</v>
      </c>
      <c r="G9" s="120"/>
      <c r="H9" s="78"/>
    </row>
    <row r="10" spans="2:10" ht="28.5" customHeight="1">
      <c r="B10" s="85"/>
      <c r="C10" s="86"/>
      <c r="D10" s="86" t="s">
        <v>163</v>
      </c>
      <c r="E10" s="121"/>
      <c r="F10" s="202" t="s">
        <v>164</v>
      </c>
      <c r="G10" s="1"/>
      <c r="H10" s="85"/>
    </row>
    <row r="11" spans="2:10" ht="20.100000000000001" customHeight="1">
      <c r="B11" s="122"/>
      <c r="C11" s="248" t="s">
        <v>165</v>
      </c>
      <c r="D11" s="249"/>
      <c r="E11" s="123"/>
      <c r="F11" s="124" t="s">
        <v>166</v>
      </c>
      <c r="G11" s="125"/>
      <c r="H11" s="78"/>
    </row>
    <row r="12" spans="2:10" ht="29.1" customHeight="1">
      <c r="C12" s="126" t="s">
        <v>105</v>
      </c>
      <c r="D12" s="127" t="s">
        <v>298</v>
      </c>
      <c r="E12" s="128"/>
      <c r="F12" s="203" t="s">
        <v>164</v>
      </c>
      <c r="G12" s="7"/>
      <c r="H12" s="85"/>
    </row>
    <row r="13" spans="2:10" ht="29.1" customHeight="1">
      <c r="C13" s="93" t="s">
        <v>106</v>
      </c>
      <c r="D13" s="94" t="s">
        <v>299</v>
      </c>
      <c r="E13" s="87"/>
      <c r="F13" s="200" t="s">
        <v>164</v>
      </c>
      <c r="G13" s="4"/>
      <c r="H13" s="85"/>
    </row>
    <row r="14" spans="2:10" ht="29.1" customHeight="1">
      <c r="C14" s="93" t="s">
        <v>107</v>
      </c>
      <c r="D14" s="94" t="s">
        <v>300</v>
      </c>
      <c r="E14" s="87"/>
      <c r="F14" s="200" t="s">
        <v>164</v>
      </c>
      <c r="G14" s="4"/>
      <c r="H14" s="85"/>
    </row>
    <row r="15" spans="2:10" ht="29.1" customHeight="1">
      <c r="C15" s="93" t="s">
        <v>108</v>
      </c>
      <c r="D15" s="94" t="s">
        <v>301</v>
      </c>
      <c r="E15" s="87"/>
      <c r="F15" s="200" t="s">
        <v>164</v>
      </c>
      <c r="G15" s="4"/>
      <c r="H15" s="85"/>
    </row>
    <row r="16" spans="2:10" ht="18" customHeight="1">
      <c r="B16" s="85"/>
      <c r="C16" s="85"/>
      <c r="D16" s="95"/>
      <c r="E16" s="95" t="s">
        <v>174</v>
      </c>
      <c r="F16" s="96" t="str">
        <f>IF(F10="Yes",COUNTIF(F12:F15,"Yes") &amp;" of " &amp;COUNTIF(B12:C15,"*"),"-")</f>
        <v>-</v>
      </c>
      <c r="G16" s="97"/>
      <c r="H16" s="85"/>
    </row>
    <row r="17" spans="2:8" ht="7.35" customHeight="1">
      <c r="B17" s="85"/>
      <c r="C17" s="85"/>
      <c r="D17" s="98"/>
      <c r="E17" s="99"/>
      <c r="F17" s="100"/>
      <c r="G17" s="101"/>
      <c r="H17" s="85"/>
    </row>
    <row r="18" spans="2:8" ht="22.35" customHeight="1">
      <c r="B18" s="110"/>
      <c r="C18" s="111" t="s">
        <v>302</v>
      </c>
      <c r="D18" s="111"/>
      <c r="E18" s="112" t="str">
        <f>IF(Tabulations!E20=1, MAX(Tabulations!V20:AA20), 0) &amp;" of"</f>
        <v>0 of</v>
      </c>
      <c r="F18" s="111" t="str">
        <f>Tabulations!S20&amp;" Points"</f>
        <v>18 Points</v>
      </c>
      <c r="G18" s="111"/>
      <c r="H18" s="75"/>
    </row>
    <row r="19" spans="2:8" ht="29.1" customHeight="1">
      <c r="B19" s="113"/>
      <c r="C19" s="251" t="s">
        <v>303</v>
      </c>
      <c r="D19" s="252"/>
      <c r="E19" s="252"/>
      <c r="F19" s="252"/>
      <c r="G19" s="114"/>
      <c r="H19" s="78"/>
    </row>
    <row r="20" spans="2:8" ht="29.1" customHeight="1">
      <c r="B20" s="115"/>
      <c r="C20" s="253" t="s">
        <v>304</v>
      </c>
      <c r="D20" s="254"/>
      <c r="E20" s="254"/>
      <c r="F20" s="254"/>
      <c r="G20" s="116"/>
      <c r="H20" s="78"/>
    </row>
    <row r="21" spans="2:8" ht="29.1" customHeight="1">
      <c r="B21" s="115"/>
      <c r="C21" s="253" t="s">
        <v>305</v>
      </c>
      <c r="D21" s="254"/>
      <c r="E21" s="254"/>
      <c r="F21" s="254"/>
      <c r="G21" s="116"/>
      <c r="H21" s="78"/>
    </row>
    <row r="22" spans="2:8" ht="18" customHeight="1">
      <c r="B22" s="117"/>
      <c r="C22" s="255"/>
      <c r="D22" s="256"/>
      <c r="E22" s="118"/>
      <c r="F22" s="119" t="s">
        <v>103</v>
      </c>
      <c r="G22" s="120"/>
      <c r="H22" s="78"/>
    </row>
    <row r="23" spans="2:8" ht="29.1" customHeight="1">
      <c r="B23" s="85"/>
      <c r="C23" s="86"/>
      <c r="D23" s="86" t="s">
        <v>163</v>
      </c>
      <c r="E23" s="103"/>
      <c r="F23" s="204" t="s">
        <v>164</v>
      </c>
      <c r="G23" s="1"/>
      <c r="H23" s="85"/>
    </row>
    <row r="24" spans="2:8" ht="20.100000000000001" customHeight="1">
      <c r="B24" s="122"/>
      <c r="C24" s="248" t="s">
        <v>165</v>
      </c>
      <c r="D24" s="249"/>
      <c r="E24" s="130"/>
      <c r="F24" s="124" t="s">
        <v>166</v>
      </c>
      <c r="G24" s="125"/>
      <c r="H24" s="78"/>
    </row>
    <row r="25" spans="2:8" ht="28.35" customHeight="1">
      <c r="C25" s="126" t="s">
        <v>105</v>
      </c>
      <c r="D25" s="127" t="s">
        <v>306</v>
      </c>
      <c r="E25" s="128"/>
      <c r="F25" s="203" t="s">
        <v>164</v>
      </c>
      <c r="G25" s="7"/>
    </row>
    <row r="26" spans="2:8" ht="28.35" customHeight="1">
      <c r="C26" s="93" t="s">
        <v>106</v>
      </c>
      <c r="D26" s="94" t="s">
        <v>307</v>
      </c>
      <c r="E26" s="87"/>
      <c r="F26" s="200" t="s">
        <v>164</v>
      </c>
      <c r="G26" s="4"/>
    </row>
    <row r="27" spans="2:8" ht="28.35" customHeight="1">
      <c r="C27" s="93" t="s">
        <v>107</v>
      </c>
      <c r="D27" s="94" t="s">
        <v>308</v>
      </c>
      <c r="E27" s="87"/>
      <c r="F27" s="200" t="s">
        <v>164</v>
      </c>
      <c r="G27" s="4"/>
    </row>
    <row r="28" spans="2:8" ht="28.35" customHeight="1">
      <c r="C28" s="93" t="s">
        <v>108</v>
      </c>
      <c r="D28" s="94" t="s">
        <v>309</v>
      </c>
      <c r="E28" s="87"/>
      <c r="F28" s="200" t="s">
        <v>164</v>
      </c>
      <c r="G28" s="4"/>
    </row>
    <row r="29" spans="2:8" ht="18" customHeight="1">
      <c r="B29" s="85"/>
      <c r="C29" s="85"/>
      <c r="D29" s="95"/>
      <c r="E29" s="95" t="s">
        <v>174</v>
      </c>
      <c r="F29" s="96" t="str">
        <f>IF(F23="Yes",COUNTIF(F25:F28,"Yes") &amp;" of " &amp;COUNTIF(B25:C28,"*"),"-")</f>
        <v>-</v>
      </c>
      <c r="G29" s="97"/>
      <c r="H29" s="85"/>
    </row>
    <row r="30" spans="2:8" ht="7.35" customHeight="1">
      <c r="B30" s="85"/>
      <c r="C30" s="85"/>
      <c r="D30" s="98"/>
      <c r="E30" s="99"/>
      <c r="F30" s="100" t="s">
        <v>185</v>
      </c>
      <c r="G30" s="101"/>
      <c r="H30" s="85"/>
    </row>
    <row r="31" spans="2:8" ht="22.35" customHeight="1">
      <c r="B31" s="110"/>
      <c r="C31" s="111" t="s">
        <v>310</v>
      </c>
      <c r="D31" s="111"/>
      <c r="E31" s="112" t="str">
        <f>IF(Tabulations!E21=1, MAX(Tabulations!V21:AA21), 0) &amp;" of"</f>
        <v>0 of</v>
      </c>
      <c r="F31" s="111" t="str">
        <f>Tabulations!S21&amp;" Points"</f>
        <v>18 Points</v>
      </c>
      <c r="G31" s="111"/>
      <c r="H31" s="75"/>
    </row>
    <row r="32" spans="2:8" ht="29.1" customHeight="1">
      <c r="B32" s="113"/>
      <c r="C32" s="251" t="s">
        <v>311</v>
      </c>
      <c r="D32" s="252"/>
      <c r="E32" s="252"/>
      <c r="F32" s="252"/>
      <c r="G32" s="114"/>
      <c r="H32" s="78"/>
    </row>
    <row r="33" spans="2:8" ht="29.1" customHeight="1">
      <c r="B33" s="115"/>
      <c r="C33" s="253" t="s">
        <v>312</v>
      </c>
      <c r="D33" s="254"/>
      <c r="E33" s="254"/>
      <c r="F33" s="254"/>
      <c r="G33" s="116"/>
      <c r="H33" s="78"/>
    </row>
    <row r="34" spans="2:8" ht="34.35" customHeight="1">
      <c r="B34" s="115"/>
      <c r="C34" s="253" t="s">
        <v>313</v>
      </c>
      <c r="D34" s="254"/>
      <c r="E34" s="254"/>
      <c r="F34" s="254"/>
      <c r="G34" s="116"/>
      <c r="H34" s="78"/>
    </row>
    <row r="35" spans="2:8" ht="18" customHeight="1">
      <c r="B35" s="117"/>
      <c r="C35" s="255"/>
      <c r="D35" s="256"/>
      <c r="E35" s="118"/>
      <c r="F35" s="119" t="s">
        <v>103</v>
      </c>
      <c r="G35" s="120"/>
      <c r="H35" s="78"/>
    </row>
    <row r="36" spans="2:8" ht="29.1" customHeight="1">
      <c r="B36" s="85"/>
      <c r="C36" s="86"/>
      <c r="D36" s="86" t="s">
        <v>163</v>
      </c>
      <c r="E36" s="103"/>
      <c r="F36" s="204" t="s">
        <v>164</v>
      </c>
      <c r="G36" s="1"/>
      <c r="H36" s="85"/>
    </row>
    <row r="37" spans="2:8" ht="20.100000000000001" customHeight="1">
      <c r="B37" s="122"/>
      <c r="C37" s="248" t="s">
        <v>165</v>
      </c>
      <c r="D37" s="249"/>
      <c r="E37" s="130"/>
      <c r="F37" s="124" t="s">
        <v>166</v>
      </c>
      <c r="G37" s="125"/>
      <c r="H37" s="78"/>
    </row>
    <row r="38" spans="2:8" ht="51" customHeight="1">
      <c r="C38" s="126" t="s">
        <v>105</v>
      </c>
      <c r="D38" s="127" t="s">
        <v>314</v>
      </c>
      <c r="E38" s="128"/>
      <c r="F38" s="203" t="s">
        <v>164</v>
      </c>
      <c r="G38" s="7"/>
      <c r="H38" s="85"/>
    </row>
    <row r="39" spans="2:8" ht="69.599999999999994" customHeight="1">
      <c r="C39" s="93" t="s">
        <v>106</v>
      </c>
      <c r="D39" s="94" t="s">
        <v>315</v>
      </c>
      <c r="E39" s="87"/>
      <c r="F39" s="200" t="s">
        <v>164</v>
      </c>
      <c r="G39" s="4"/>
      <c r="H39" s="85"/>
    </row>
    <row r="40" spans="2:8" ht="29.1" customHeight="1">
      <c r="C40" s="93" t="s">
        <v>107</v>
      </c>
      <c r="D40" s="94" t="s">
        <v>316</v>
      </c>
      <c r="E40" s="87"/>
      <c r="F40" s="200" t="s">
        <v>164</v>
      </c>
      <c r="G40" s="4"/>
      <c r="H40" s="85"/>
    </row>
    <row r="41" spans="2:8" ht="47.1" customHeight="1">
      <c r="C41" s="93" t="s">
        <v>108</v>
      </c>
      <c r="D41" s="94" t="s">
        <v>317</v>
      </c>
      <c r="E41" s="87"/>
      <c r="F41" s="200" t="s">
        <v>164</v>
      </c>
      <c r="G41" s="4"/>
      <c r="H41" s="85"/>
    </row>
    <row r="42" spans="2:8" ht="35.25" customHeight="1">
      <c r="C42" s="93" t="s">
        <v>109</v>
      </c>
      <c r="D42" s="94" t="s">
        <v>318</v>
      </c>
      <c r="E42" s="87"/>
      <c r="F42" s="200" t="s">
        <v>164</v>
      </c>
      <c r="G42" s="4"/>
      <c r="H42" s="85"/>
    </row>
    <row r="43" spans="2:8" ht="28.35" customHeight="1">
      <c r="C43" s="93" t="s">
        <v>110</v>
      </c>
      <c r="D43" s="94" t="s">
        <v>319</v>
      </c>
      <c r="E43" s="87"/>
      <c r="F43" s="200" t="s">
        <v>7</v>
      </c>
      <c r="G43" s="4"/>
      <c r="H43" s="85"/>
    </row>
    <row r="44" spans="2:8" ht="18" customHeight="1">
      <c r="B44" s="85"/>
      <c r="C44" s="85"/>
      <c r="D44" s="95"/>
      <c r="E44" s="95" t="s">
        <v>174</v>
      </c>
      <c r="F44" s="96" t="str">
        <f>IF(F36="Yes",COUNTIF(F38:F43,"Yes") &amp;" of " &amp;COUNTIF(B38:C43,"*"),"-")</f>
        <v>-</v>
      </c>
      <c r="G44" s="97"/>
      <c r="H44" s="85"/>
    </row>
    <row r="45" spans="2:8" ht="7.35" customHeight="1">
      <c r="B45" s="85"/>
      <c r="C45" s="85"/>
      <c r="D45" s="98"/>
      <c r="E45" s="99"/>
      <c r="F45" s="100"/>
      <c r="G45" s="101"/>
      <c r="H45" s="85"/>
    </row>
    <row r="46" spans="2:8" ht="22.35" customHeight="1">
      <c r="B46" s="110"/>
      <c r="C46" s="111" t="s">
        <v>320</v>
      </c>
      <c r="D46" s="111"/>
      <c r="E46" s="112" t="str">
        <f>IF(Tabulations!E22=1, MAX(Tabulations!V22:AA22), 0) &amp;" of"</f>
        <v>0 of</v>
      </c>
      <c r="F46" s="111" t="str">
        <f>Tabulations!S22&amp;" Points"</f>
        <v>18 Points</v>
      </c>
      <c r="G46" s="111"/>
      <c r="H46" s="75"/>
    </row>
    <row r="47" spans="2:8" ht="29.1" customHeight="1">
      <c r="B47" s="113"/>
      <c r="C47" s="251" t="s">
        <v>321</v>
      </c>
      <c r="D47" s="252"/>
      <c r="E47" s="252"/>
      <c r="F47" s="252"/>
      <c r="G47" s="114"/>
      <c r="H47" s="78"/>
    </row>
    <row r="48" spans="2:8" ht="29.1" customHeight="1">
      <c r="B48" s="115"/>
      <c r="C48" s="253" t="s">
        <v>322</v>
      </c>
      <c r="D48" s="254"/>
      <c r="E48" s="254"/>
      <c r="F48" s="254"/>
      <c r="G48" s="116"/>
      <c r="H48" s="78"/>
    </row>
    <row r="49" spans="2:8" ht="29.1" customHeight="1">
      <c r="B49" s="115"/>
      <c r="C49" s="253" t="s">
        <v>323</v>
      </c>
      <c r="D49" s="254"/>
      <c r="E49" s="254"/>
      <c r="F49" s="254"/>
      <c r="G49" s="116"/>
      <c r="H49" s="78"/>
    </row>
    <row r="50" spans="2:8" ht="18" customHeight="1">
      <c r="B50" s="117"/>
      <c r="C50" s="255"/>
      <c r="D50" s="256"/>
      <c r="E50" s="118"/>
      <c r="F50" s="119" t="s">
        <v>103</v>
      </c>
      <c r="G50" s="120"/>
      <c r="H50" s="78"/>
    </row>
    <row r="51" spans="2:8" ht="29.1" customHeight="1">
      <c r="B51" s="85"/>
      <c r="C51" s="86"/>
      <c r="D51" s="86" t="s">
        <v>163</v>
      </c>
      <c r="E51" s="103"/>
      <c r="F51" s="204" t="s">
        <v>164</v>
      </c>
      <c r="G51" s="1"/>
      <c r="H51" s="85"/>
    </row>
    <row r="52" spans="2:8" ht="20.100000000000001" customHeight="1">
      <c r="B52" s="122"/>
      <c r="C52" s="248" t="s">
        <v>165</v>
      </c>
      <c r="D52" s="249"/>
      <c r="E52" s="130"/>
      <c r="F52" s="124" t="s">
        <v>166</v>
      </c>
      <c r="G52" s="125"/>
      <c r="H52" s="78"/>
    </row>
    <row r="53" spans="2:8" ht="28.35" customHeight="1">
      <c r="C53" s="126" t="s">
        <v>105</v>
      </c>
      <c r="D53" s="127" t="s">
        <v>324</v>
      </c>
      <c r="E53" s="128"/>
      <c r="F53" s="203" t="s">
        <v>164</v>
      </c>
      <c r="G53" s="7"/>
      <c r="H53" s="85"/>
    </row>
    <row r="54" spans="2:8" ht="28.35" customHeight="1">
      <c r="C54" s="93" t="s">
        <v>106</v>
      </c>
      <c r="D54" s="94" t="s">
        <v>325</v>
      </c>
      <c r="E54" s="87"/>
      <c r="F54" s="200" t="s">
        <v>164</v>
      </c>
      <c r="G54" s="4"/>
      <c r="H54" s="85"/>
    </row>
    <row r="55" spans="2:8" ht="28.35" customHeight="1">
      <c r="C55" s="93" t="s">
        <v>107</v>
      </c>
      <c r="D55" s="94" t="s">
        <v>326</v>
      </c>
      <c r="E55" s="87"/>
      <c r="F55" s="200" t="s">
        <v>164</v>
      </c>
      <c r="G55" s="4"/>
      <c r="H55" s="85"/>
    </row>
    <row r="56" spans="2:8" ht="36" customHeight="1">
      <c r="C56" s="93" t="s">
        <v>108</v>
      </c>
      <c r="D56" s="94" t="s">
        <v>327</v>
      </c>
      <c r="E56" s="206"/>
      <c r="F56" s="88" t="str">
        <f>IF(F51="-","-",IF(D57="none","No","Yes"))</f>
        <v>-</v>
      </c>
      <c r="G56" s="4"/>
      <c r="H56" s="85"/>
    </row>
    <row r="57" spans="2:8" ht="36.6" customHeight="1">
      <c r="C57" s="93"/>
      <c r="D57" s="201" t="s">
        <v>204</v>
      </c>
      <c r="E57" s="131">
        <f>VLOOKUP(D57,lookup!J4:K6,2,FALSE)</f>
        <v>2</v>
      </c>
      <c r="F57" s="105"/>
      <c r="G57" s="4"/>
      <c r="H57" s="85"/>
    </row>
    <row r="58" spans="2:8" ht="34.35" customHeight="1">
      <c r="C58" s="93" t="s">
        <v>109</v>
      </c>
      <c r="D58" s="94" t="s">
        <v>328</v>
      </c>
      <c r="E58" s="88"/>
      <c r="F58" s="200" t="s">
        <v>164</v>
      </c>
      <c r="G58" s="4"/>
      <c r="H58" s="85"/>
    </row>
    <row r="59" spans="2:8" ht="18" customHeight="1">
      <c r="B59" s="85"/>
      <c r="C59" s="85"/>
      <c r="D59" s="95"/>
      <c r="E59" s="95" t="s">
        <v>174</v>
      </c>
      <c r="F59" s="96" t="str">
        <f>IF(F51="Yes",COUNTIF(F53:F58,"Yes") &amp;" of " &amp;COUNTIF(B53:C58,"*"),"-")</f>
        <v>-</v>
      </c>
      <c r="G59" s="97"/>
      <c r="H59" s="85"/>
    </row>
    <row r="60" spans="2:8" ht="18" customHeight="1">
      <c r="B60" s="85"/>
      <c r="C60" s="85"/>
      <c r="D60" s="95"/>
      <c r="E60" s="95"/>
      <c r="F60" s="96"/>
      <c r="G60" s="97"/>
      <c r="H60" s="85"/>
    </row>
    <row r="61" spans="2:8" ht="18" customHeight="1">
      <c r="B61" s="67"/>
      <c r="C61" s="250" t="s">
        <v>329</v>
      </c>
      <c r="D61" s="250"/>
      <c r="E61" s="250"/>
      <c r="F61" s="250"/>
      <c r="G61" s="97"/>
      <c r="H61" s="85"/>
    </row>
    <row r="62" spans="2:8" ht="7.35" customHeight="1">
      <c r="B62" s="85"/>
      <c r="C62" s="85"/>
      <c r="D62" s="98"/>
      <c r="E62" s="99"/>
      <c r="F62" s="100"/>
      <c r="G62" s="101"/>
      <c r="H62" s="85"/>
    </row>
    <row r="63" spans="2:8" ht="22.35" customHeight="1">
      <c r="B63" s="110"/>
      <c r="C63" s="111" t="s">
        <v>330</v>
      </c>
      <c r="D63" s="111"/>
      <c r="E63" s="112" t="str">
        <f>IF(Tabulations!E23=1, MAX(Tabulations!V23:AA23), 0) &amp;" of"</f>
        <v>0 of</v>
      </c>
      <c r="F63" s="111" t="str">
        <f>Tabulations!S23&amp;" Points"</f>
        <v>18 Points</v>
      </c>
      <c r="G63" s="111"/>
      <c r="H63" s="75"/>
    </row>
    <row r="64" spans="2:8" ht="29.1" customHeight="1">
      <c r="B64" s="113"/>
      <c r="C64" s="251" t="s">
        <v>331</v>
      </c>
      <c r="D64" s="252"/>
      <c r="E64" s="252"/>
      <c r="F64" s="252"/>
      <c r="G64" s="114"/>
      <c r="H64" s="78"/>
    </row>
    <row r="65" spans="2:8" ht="29.1" customHeight="1">
      <c r="B65" s="115"/>
      <c r="C65" s="253" t="s">
        <v>332</v>
      </c>
      <c r="D65" s="254"/>
      <c r="E65" s="254"/>
      <c r="F65" s="254"/>
      <c r="G65" s="116"/>
      <c r="H65" s="78"/>
    </row>
    <row r="66" spans="2:8" ht="29.1" customHeight="1">
      <c r="B66" s="115"/>
      <c r="C66" s="253" t="s">
        <v>333</v>
      </c>
      <c r="D66" s="254"/>
      <c r="E66" s="254"/>
      <c r="F66" s="254"/>
      <c r="G66" s="116"/>
      <c r="H66" s="78"/>
    </row>
    <row r="67" spans="2:8" ht="18" customHeight="1">
      <c r="B67" s="117"/>
      <c r="C67" s="255"/>
      <c r="D67" s="256"/>
      <c r="E67" s="118"/>
      <c r="F67" s="119" t="s">
        <v>103</v>
      </c>
      <c r="G67" s="120"/>
      <c r="H67" s="78"/>
    </row>
    <row r="68" spans="2:8" ht="29.1" customHeight="1">
      <c r="B68" s="85"/>
      <c r="C68" s="86"/>
      <c r="D68" s="86" t="s">
        <v>163</v>
      </c>
      <c r="E68" s="86"/>
      <c r="F68" s="204" t="s">
        <v>164</v>
      </c>
      <c r="G68" s="1"/>
      <c r="H68" s="85"/>
    </row>
    <row r="69" spans="2:8" ht="20.100000000000001" customHeight="1">
      <c r="B69" s="122"/>
      <c r="C69" s="248" t="s">
        <v>165</v>
      </c>
      <c r="D69" s="249"/>
      <c r="E69" s="130"/>
      <c r="F69" s="124" t="s">
        <v>166</v>
      </c>
      <c r="G69" s="125"/>
      <c r="H69" s="78"/>
    </row>
    <row r="70" spans="2:8" ht="28.35" customHeight="1">
      <c r="C70" s="126" t="s">
        <v>105</v>
      </c>
      <c r="D70" s="127" t="s">
        <v>334</v>
      </c>
      <c r="E70" s="128"/>
      <c r="F70" s="203" t="s">
        <v>164</v>
      </c>
      <c r="G70" s="7"/>
      <c r="H70" s="85"/>
    </row>
    <row r="71" spans="2:8" ht="45" customHeight="1">
      <c r="C71" s="93" t="s">
        <v>106</v>
      </c>
      <c r="D71" s="94" t="s">
        <v>335</v>
      </c>
      <c r="E71" s="87"/>
      <c r="F71" s="200" t="s">
        <v>164</v>
      </c>
      <c r="G71" s="4"/>
      <c r="H71" s="85"/>
    </row>
    <row r="72" spans="2:8" ht="28.35" customHeight="1">
      <c r="C72" s="93" t="s">
        <v>107</v>
      </c>
      <c r="D72" s="94" t="s">
        <v>336</v>
      </c>
      <c r="E72" s="87"/>
      <c r="F72" s="200" t="s">
        <v>164</v>
      </c>
      <c r="G72" s="4"/>
      <c r="H72" s="85"/>
    </row>
    <row r="73" spans="2:8" ht="28.35" customHeight="1">
      <c r="C73" s="93" t="s">
        <v>108</v>
      </c>
      <c r="D73" s="94" t="s">
        <v>337</v>
      </c>
      <c r="E73" s="87"/>
      <c r="F73" s="200" t="s">
        <v>164</v>
      </c>
      <c r="G73" s="4"/>
      <c r="H73" s="85"/>
    </row>
    <row r="74" spans="2:8" ht="35.1" customHeight="1">
      <c r="C74" s="93" t="s">
        <v>109</v>
      </c>
      <c r="D74" s="94" t="s">
        <v>338</v>
      </c>
      <c r="E74" s="87"/>
      <c r="F74" s="200" t="s">
        <v>164</v>
      </c>
      <c r="G74" s="4"/>
      <c r="H74" s="85"/>
    </row>
    <row r="75" spans="2:8" ht="18" customHeight="1">
      <c r="B75" s="85"/>
      <c r="C75" s="85"/>
      <c r="D75" s="95"/>
      <c r="E75" s="95" t="s">
        <v>174</v>
      </c>
      <c r="F75" s="96" t="str">
        <f>IF(F68="Yes",COUNTIF(F70:F74,"Yes") &amp;" of " &amp;COUNTIF(B70:C74,"*"),"-")</f>
        <v>-</v>
      </c>
      <c r="G75" s="97"/>
      <c r="H75" s="85"/>
    </row>
    <row r="76" spans="2:8" ht="6.75" customHeight="1">
      <c r="B76" s="85"/>
      <c r="C76" s="85"/>
      <c r="D76" s="95"/>
      <c r="E76" s="6"/>
      <c r="F76" s="107"/>
      <c r="G76" s="97"/>
      <c r="H76" s="85"/>
    </row>
    <row r="77" spans="2:8" ht="22.35" customHeight="1">
      <c r="B77" s="110"/>
      <c r="C77" s="111" t="s">
        <v>339</v>
      </c>
      <c r="D77" s="111"/>
      <c r="E77" s="112" t="str">
        <f>IF(Tabulations!E24=1, MAX(Tabulations!V24:AA24), 0) &amp;" of"</f>
        <v>0 of</v>
      </c>
      <c r="F77" s="111" t="str">
        <f>Tabulations!S24&amp;" Points"</f>
        <v>16 Points</v>
      </c>
      <c r="G77" s="111"/>
      <c r="H77" s="75"/>
    </row>
    <row r="78" spans="2:8" ht="29.1" customHeight="1">
      <c r="B78" s="113"/>
      <c r="C78" s="251" t="s">
        <v>340</v>
      </c>
      <c r="D78" s="252"/>
      <c r="E78" s="252"/>
      <c r="F78" s="252"/>
      <c r="G78" s="114"/>
      <c r="H78" s="78"/>
    </row>
    <row r="79" spans="2:8" ht="29.1" customHeight="1">
      <c r="B79" s="115"/>
      <c r="C79" s="257" t="s">
        <v>341</v>
      </c>
      <c r="D79" s="254"/>
      <c r="E79" s="254"/>
      <c r="F79" s="254"/>
      <c r="G79" s="116"/>
      <c r="H79" s="78"/>
    </row>
    <row r="80" spans="2:8" ht="69" customHeight="1">
      <c r="B80" s="115"/>
      <c r="C80" s="253" t="s">
        <v>342</v>
      </c>
      <c r="D80" s="254"/>
      <c r="E80" s="254"/>
      <c r="F80" s="254"/>
      <c r="G80" s="116"/>
      <c r="H80" s="78"/>
    </row>
    <row r="81" spans="2:8" ht="18" customHeight="1">
      <c r="B81" s="117"/>
      <c r="C81" s="255"/>
      <c r="D81" s="256"/>
      <c r="E81" s="118"/>
      <c r="F81" s="119" t="s">
        <v>103</v>
      </c>
      <c r="G81" s="120"/>
      <c r="H81" s="78"/>
    </row>
    <row r="82" spans="2:8" ht="29.1" customHeight="1">
      <c r="B82" s="85"/>
      <c r="C82" s="86"/>
      <c r="D82" s="86" t="s">
        <v>163</v>
      </c>
      <c r="E82" s="86"/>
      <c r="F82" s="204" t="s">
        <v>164</v>
      </c>
      <c r="G82" s="1"/>
      <c r="H82" s="85"/>
    </row>
    <row r="83" spans="2:8" ht="20.100000000000001" customHeight="1">
      <c r="B83" s="122"/>
      <c r="C83" s="248" t="s">
        <v>165</v>
      </c>
      <c r="D83" s="249"/>
      <c r="E83" s="130"/>
      <c r="F83" s="124" t="s">
        <v>166</v>
      </c>
      <c r="G83" s="125"/>
      <c r="H83" s="78"/>
    </row>
    <row r="84" spans="2:8" ht="29.1" customHeight="1">
      <c r="C84" s="93" t="s">
        <v>105</v>
      </c>
      <c r="D84" s="94" t="s">
        <v>343</v>
      </c>
      <c r="E84" s="87"/>
      <c r="F84" s="200" t="s">
        <v>164</v>
      </c>
      <c r="G84" s="4"/>
      <c r="H84" s="85"/>
    </row>
    <row r="85" spans="2:8" ht="29.1" customHeight="1">
      <c r="C85" s="93" t="s">
        <v>106</v>
      </c>
      <c r="D85" s="94" t="s">
        <v>344</v>
      </c>
      <c r="E85" s="87"/>
      <c r="F85" s="200" t="s">
        <v>164</v>
      </c>
      <c r="G85" s="4"/>
      <c r="H85" s="85"/>
    </row>
    <row r="86" spans="2:8" ht="29.1" customHeight="1">
      <c r="C86" s="93" t="s">
        <v>107</v>
      </c>
      <c r="D86" s="94" t="s">
        <v>345</v>
      </c>
      <c r="E86" s="87"/>
      <c r="F86" s="200" t="s">
        <v>164</v>
      </c>
      <c r="G86" s="4"/>
      <c r="H86" s="85"/>
    </row>
    <row r="87" spans="2:8" ht="29.1" customHeight="1">
      <c r="C87" s="93" t="s">
        <v>108</v>
      </c>
      <c r="D87" s="94" t="s">
        <v>346</v>
      </c>
      <c r="E87" s="87"/>
      <c r="F87" s="200" t="s">
        <v>164</v>
      </c>
      <c r="G87" s="4"/>
      <c r="H87" s="85"/>
    </row>
    <row r="88" spans="2:8" ht="29.1" customHeight="1">
      <c r="C88" s="93" t="s">
        <v>109</v>
      </c>
      <c r="D88" s="94" t="s">
        <v>347</v>
      </c>
      <c r="E88" s="87"/>
      <c r="F88" s="200" t="s">
        <v>164</v>
      </c>
      <c r="G88" s="4"/>
      <c r="H88" s="85"/>
    </row>
    <row r="89" spans="2:8" ht="13.5">
      <c r="B89" s="85"/>
      <c r="C89" s="85"/>
      <c r="D89" s="95"/>
      <c r="E89" s="95" t="s">
        <v>174</v>
      </c>
      <c r="F89" s="96" t="str">
        <f>IF(F82="Yes",COUNTIF(F84:F88,"Yes") &amp;" of " &amp;COUNTIF(B84:C88,"*"),"-")</f>
        <v>-</v>
      </c>
      <c r="G89" s="97"/>
      <c r="H89" s="85"/>
    </row>
    <row r="90" spans="2:8" ht="6.75" customHeight="1">
      <c r="B90" s="85"/>
      <c r="C90" s="85"/>
      <c r="D90" s="95"/>
      <c r="E90" s="6"/>
      <c r="F90" s="107"/>
      <c r="G90" s="97"/>
      <c r="H90" s="85"/>
    </row>
    <row r="91" spans="2:8" ht="22.35" customHeight="1">
      <c r="B91" s="110"/>
      <c r="C91" s="111" t="s">
        <v>348</v>
      </c>
      <c r="D91" s="111"/>
      <c r="E91" s="112" t="str">
        <f>IF(Tabulations!E25=1, MAX(Tabulations!V25:AA25), 0) &amp;" of"</f>
        <v>0 of</v>
      </c>
      <c r="F91" s="111" t="str">
        <f>Tabulations!S25&amp;" Points"</f>
        <v>12 Points</v>
      </c>
      <c r="G91" s="111"/>
      <c r="H91" s="75"/>
    </row>
    <row r="92" spans="2:8" ht="29.1" customHeight="1">
      <c r="B92" s="113"/>
      <c r="C92" s="251" t="s">
        <v>349</v>
      </c>
      <c r="D92" s="252"/>
      <c r="E92" s="252"/>
      <c r="F92" s="252"/>
      <c r="G92" s="114"/>
      <c r="H92" s="78"/>
    </row>
    <row r="93" spans="2:8" ht="29.1" customHeight="1">
      <c r="B93" s="115"/>
      <c r="C93" s="253" t="s">
        <v>350</v>
      </c>
      <c r="D93" s="254"/>
      <c r="E93" s="254"/>
      <c r="F93" s="254"/>
      <c r="G93" s="116"/>
      <c r="H93" s="78"/>
    </row>
    <row r="94" spans="2:8" ht="40.35" customHeight="1">
      <c r="B94" s="115"/>
      <c r="C94" s="253" t="s">
        <v>351</v>
      </c>
      <c r="D94" s="254"/>
      <c r="E94" s="254"/>
      <c r="F94" s="254"/>
      <c r="G94" s="116"/>
      <c r="H94" s="78"/>
    </row>
    <row r="95" spans="2:8" ht="18" customHeight="1">
      <c r="B95" s="117"/>
      <c r="C95" s="255"/>
      <c r="D95" s="256"/>
      <c r="E95" s="118"/>
      <c r="F95" s="119" t="s">
        <v>103</v>
      </c>
      <c r="G95" s="120"/>
      <c r="H95" s="78"/>
    </row>
    <row r="96" spans="2:8" ht="29.1" customHeight="1">
      <c r="B96" s="85"/>
      <c r="C96" s="86"/>
      <c r="D96" s="86" t="s">
        <v>163</v>
      </c>
      <c r="E96" s="86"/>
      <c r="F96" s="204" t="s">
        <v>164</v>
      </c>
      <c r="G96" s="1"/>
      <c r="H96" s="85"/>
    </row>
    <row r="97" spans="2:8" ht="20.100000000000001" customHeight="1">
      <c r="B97" s="122"/>
      <c r="C97" s="248" t="s">
        <v>165</v>
      </c>
      <c r="D97" s="249"/>
      <c r="E97" s="130"/>
      <c r="F97" s="124" t="s">
        <v>166</v>
      </c>
      <c r="G97" s="125"/>
      <c r="H97" s="78"/>
    </row>
    <row r="98" spans="2:8" ht="29.1" customHeight="1">
      <c r="C98" s="126" t="s">
        <v>105</v>
      </c>
      <c r="D98" s="127" t="s">
        <v>352</v>
      </c>
      <c r="E98" s="128"/>
      <c r="F98" s="203" t="s">
        <v>164</v>
      </c>
      <c r="G98" s="7"/>
      <c r="H98" s="85"/>
    </row>
    <row r="99" spans="2:8" ht="29.1" customHeight="1">
      <c r="C99" s="93" t="s">
        <v>106</v>
      </c>
      <c r="D99" s="94" t="s">
        <v>353</v>
      </c>
      <c r="E99" s="87"/>
      <c r="F99" s="200" t="s">
        <v>164</v>
      </c>
      <c r="G99" s="4"/>
      <c r="H99" s="85"/>
    </row>
    <row r="100" spans="2:8" ht="29.1" customHeight="1">
      <c r="C100" s="93" t="s">
        <v>107</v>
      </c>
      <c r="D100" s="94" t="s">
        <v>354</v>
      </c>
      <c r="E100" s="87"/>
      <c r="F100" s="200" t="s">
        <v>164</v>
      </c>
      <c r="G100" s="4"/>
      <c r="H100" s="85"/>
    </row>
    <row r="101" spans="2:8" ht="29.1" customHeight="1">
      <c r="C101" s="93" t="s">
        <v>108</v>
      </c>
      <c r="D101" s="94" t="s">
        <v>355</v>
      </c>
      <c r="E101" s="87"/>
      <c r="F101" s="200" t="s">
        <v>164</v>
      </c>
      <c r="G101" s="4"/>
      <c r="H101" s="85"/>
    </row>
    <row r="102" spans="2:8" ht="29.1" customHeight="1">
      <c r="C102" s="93" t="s">
        <v>109</v>
      </c>
      <c r="D102" s="94" t="s">
        <v>356</v>
      </c>
      <c r="E102" s="87"/>
      <c r="F102" s="200" t="s">
        <v>164</v>
      </c>
      <c r="G102" s="4"/>
      <c r="H102" s="85"/>
    </row>
    <row r="103" spans="2:8" ht="13.5">
      <c r="B103" s="85"/>
      <c r="C103" s="85"/>
      <c r="D103" s="95"/>
      <c r="E103" s="95" t="s">
        <v>174</v>
      </c>
      <c r="F103" s="96" t="str">
        <f>IF(F96="Yes",COUNTIF(F98:F102,"Yes") &amp;" of " &amp;COUNTIF(B98:C102,"*"),"-")</f>
        <v>-</v>
      </c>
      <c r="G103" s="97"/>
      <c r="H103" s="85"/>
    </row>
    <row r="104" spans="2:8" ht="6.75" customHeight="1">
      <c r="B104" s="85"/>
      <c r="C104" s="85"/>
      <c r="D104" s="95"/>
      <c r="E104" s="6"/>
      <c r="F104" s="107"/>
      <c r="G104" s="97"/>
      <c r="H104" s="85"/>
    </row>
    <row r="105" spans="2:8" ht="22.35" customHeight="1">
      <c r="B105" s="110"/>
      <c r="C105" s="111" t="s">
        <v>357</v>
      </c>
      <c r="D105" s="111"/>
      <c r="E105" s="112" t="str">
        <f>IF(Tabulations!E26=1, MAX(Tabulations!V26:AA26), 0) &amp;" of"</f>
        <v>0 of</v>
      </c>
      <c r="F105" s="111" t="str">
        <f>Tabulations!S26&amp;" Points"</f>
        <v>14 Points</v>
      </c>
      <c r="G105" s="111"/>
      <c r="H105" s="75"/>
    </row>
    <row r="106" spans="2:8" ht="28.35" customHeight="1">
      <c r="B106" s="113"/>
      <c r="C106" s="251" t="s">
        <v>358</v>
      </c>
      <c r="D106" s="252"/>
      <c r="E106" s="252"/>
      <c r="F106" s="252"/>
      <c r="G106" s="114"/>
      <c r="H106" s="78"/>
    </row>
    <row r="107" spans="2:8" ht="28.35" customHeight="1">
      <c r="B107" s="115"/>
      <c r="C107" s="253" t="s">
        <v>359</v>
      </c>
      <c r="D107" s="254"/>
      <c r="E107" s="254"/>
      <c r="F107" s="254"/>
      <c r="G107" s="116"/>
      <c r="H107" s="78"/>
    </row>
    <row r="108" spans="2:8" ht="28.35" customHeight="1">
      <c r="B108" s="115"/>
      <c r="C108" s="253" t="s">
        <v>360</v>
      </c>
      <c r="D108" s="254"/>
      <c r="E108" s="254"/>
      <c r="F108" s="254"/>
      <c r="G108" s="116"/>
      <c r="H108" s="78"/>
    </row>
    <row r="109" spans="2:8" ht="18" customHeight="1">
      <c r="B109" s="117"/>
      <c r="C109" s="255"/>
      <c r="D109" s="256"/>
      <c r="E109" s="118"/>
      <c r="F109" s="119" t="s">
        <v>103</v>
      </c>
      <c r="G109" s="120"/>
      <c r="H109" s="78"/>
    </row>
    <row r="110" spans="2:8" ht="29.1" customHeight="1">
      <c r="B110" s="85"/>
      <c r="C110" s="86"/>
      <c r="D110" s="86" t="s">
        <v>163</v>
      </c>
      <c r="E110" s="86"/>
      <c r="F110" s="204" t="s">
        <v>164</v>
      </c>
      <c r="G110" s="1"/>
      <c r="H110" s="85"/>
    </row>
    <row r="111" spans="2:8" ht="20.100000000000001" customHeight="1">
      <c r="B111" s="122"/>
      <c r="C111" s="248" t="s">
        <v>165</v>
      </c>
      <c r="D111" s="249"/>
      <c r="E111" s="130"/>
      <c r="F111" s="124" t="s">
        <v>166</v>
      </c>
      <c r="G111" s="125"/>
      <c r="H111" s="78"/>
    </row>
    <row r="112" spans="2:8" ht="28.35" customHeight="1">
      <c r="C112" s="126" t="s">
        <v>105</v>
      </c>
      <c r="D112" s="127" t="s">
        <v>361</v>
      </c>
      <c r="E112" s="128"/>
      <c r="F112" s="203" t="s">
        <v>164</v>
      </c>
      <c r="G112" s="7"/>
      <c r="H112" s="85"/>
    </row>
    <row r="113" spans="2:8" ht="28.35" customHeight="1">
      <c r="C113" s="93" t="s">
        <v>106</v>
      </c>
      <c r="D113" s="94" t="s">
        <v>362</v>
      </c>
      <c r="E113" s="87"/>
      <c r="F113" s="200" t="s">
        <v>164</v>
      </c>
      <c r="G113" s="4"/>
      <c r="H113" s="85"/>
    </row>
    <row r="114" spans="2:8" ht="28.35" customHeight="1">
      <c r="C114" s="93" t="s">
        <v>107</v>
      </c>
      <c r="D114" s="94" t="s">
        <v>363</v>
      </c>
      <c r="E114" s="87"/>
      <c r="F114" s="200" t="s">
        <v>164</v>
      </c>
      <c r="G114" s="4"/>
      <c r="H114" s="85"/>
    </row>
    <row r="115" spans="2:8" ht="28.35" customHeight="1">
      <c r="C115" s="93" t="s">
        <v>108</v>
      </c>
      <c r="D115" s="94" t="s">
        <v>364</v>
      </c>
      <c r="E115" s="87"/>
      <c r="F115" s="200" t="s">
        <v>164</v>
      </c>
      <c r="G115" s="4"/>
      <c r="H115" s="85"/>
    </row>
    <row r="116" spans="2:8" ht="28.35" customHeight="1">
      <c r="C116" s="93" t="s">
        <v>109</v>
      </c>
      <c r="D116" s="94" t="s">
        <v>365</v>
      </c>
      <c r="E116" s="87"/>
      <c r="F116" s="200" t="s">
        <v>164</v>
      </c>
      <c r="G116" s="4"/>
      <c r="H116" s="85"/>
    </row>
    <row r="117" spans="2:8" ht="13.5">
      <c r="B117" s="85"/>
      <c r="C117" s="85"/>
      <c r="D117" s="95"/>
      <c r="E117" s="95" t="s">
        <v>174</v>
      </c>
      <c r="F117" s="96" t="str">
        <f>IF(F110="Yes",COUNTIF(F112:F116,"Yes") &amp;" of " &amp;COUNTIF(B112:C116,"*"),"-")</f>
        <v>-</v>
      </c>
      <c r="G117" s="97"/>
      <c r="H117" s="85"/>
    </row>
    <row r="118" spans="2:8" ht="6.75" customHeight="1">
      <c r="B118" s="85"/>
      <c r="C118" s="85"/>
      <c r="D118" s="95"/>
      <c r="E118" s="6"/>
      <c r="F118" s="107"/>
      <c r="G118" s="97"/>
      <c r="H118" s="85"/>
    </row>
    <row r="119" spans="2:8" s="69" customFormat="1" ht="18" customHeight="1">
      <c r="B119" s="67"/>
      <c r="C119" s="250" t="s">
        <v>366</v>
      </c>
      <c r="D119" s="250"/>
      <c r="E119" s="250"/>
      <c r="F119" s="250"/>
      <c r="G119" s="64"/>
      <c r="H119" s="68"/>
    </row>
    <row r="120" spans="2:8" ht="6.75" customHeight="1">
      <c r="B120" s="85"/>
      <c r="C120" s="85"/>
      <c r="D120" s="95"/>
      <c r="E120" s="6"/>
      <c r="F120" s="107"/>
      <c r="G120" s="97"/>
      <c r="H120" s="85"/>
    </row>
    <row r="121" spans="2:8" ht="22.35" customHeight="1">
      <c r="B121" s="110"/>
      <c r="C121" s="111" t="s">
        <v>367</v>
      </c>
      <c r="D121" s="111"/>
      <c r="E121" s="112" t="str">
        <f>IF(Tabulations!E27=1, MAX(Tabulations!V27:AA27), 0) &amp;" of"</f>
        <v>0 of</v>
      </c>
      <c r="F121" s="111" t="str">
        <f>Tabulations!S27&amp;" Points"</f>
        <v>20 Points</v>
      </c>
      <c r="G121" s="111"/>
      <c r="H121" s="75"/>
    </row>
    <row r="122" spans="2:8" ht="29.1" customHeight="1">
      <c r="B122" s="113"/>
      <c r="C122" s="251" t="s">
        <v>368</v>
      </c>
      <c r="D122" s="252"/>
      <c r="E122" s="252"/>
      <c r="F122" s="252"/>
      <c r="G122" s="114"/>
      <c r="H122" s="78"/>
    </row>
    <row r="123" spans="2:8" ht="29.1" customHeight="1">
      <c r="B123" s="115"/>
      <c r="C123" s="253" t="s">
        <v>369</v>
      </c>
      <c r="D123" s="254"/>
      <c r="E123" s="254"/>
      <c r="F123" s="254"/>
      <c r="G123" s="116"/>
      <c r="H123" s="78"/>
    </row>
    <row r="124" spans="2:8" ht="55.35" customHeight="1">
      <c r="B124" s="115"/>
      <c r="C124" s="253" t="s">
        <v>370</v>
      </c>
      <c r="D124" s="254"/>
      <c r="E124" s="254"/>
      <c r="F124" s="254"/>
      <c r="G124" s="116"/>
      <c r="H124" s="78"/>
    </row>
    <row r="125" spans="2:8" ht="18" customHeight="1">
      <c r="B125" s="117"/>
      <c r="C125" s="255"/>
      <c r="D125" s="256"/>
      <c r="E125" s="118"/>
      <c r="F125" s="119" t="s">
        <v>103</v>
      </c>
      <c r="G125" s="120"/>
      <c r="H125" s="78"/>
    </row>
    <row r="126" spans="2:8" ht="29.1" customHeight="1">
      <c r="B126" s="85"/>
      <c r="C126" s="86"/>
      <c r="D126" s="86" t="s">
        <v>163</v>
      </c>
      <c r="E126" s="86"/>
      <c r="F126" s="204" t="s">
        <v>164</v>
      </c>
      <c r="G126" s="1"/>
      <c r="H126" s="85"/>
    </row>
    <row r="127" spans="2:8" ht="20.100000000000001" customHeight="1">
      <c r="B127" s="122"/>
      <c r="C127" s="248" t="s">
        <v>165</v>
      </c>
      <c r="D127" s="249"/>
      <c r="E127" s="130"/>
      <c r="F127" s="124" t="s">
        <v>166</v>
      </c>
      <c r="G127" s="125"/>
      <c r="H127" s="78"/>
    </row>
    <row r="128" spans="2:8" ht="28.35" customHeight="1">
      <c r="C128" s="126" t="s">
        <v>105</v>
      </c>
      <c r="D128" s="127" t="s">
        <v>371</v>
      </c>
      <c r="E128" s="128"/>
      <c r="F128" s="203" t="s">
        <v>164</v>
      </c>
      <c r="G128" s="7"/>
      <c r="H128" s="85"/>
    </row>
    <row r="129" spans="2:10" ht="28.35" customHeight="1">
      <c r="C129" s="93" t="s">
        <v>106</v>
      </c>
      <c r="D129" s="94" t="s">
        <v>372</v>
      </c>
      <c r="E129" s="87"/>
      <c r="F129" s="200" t="s">
        <v>164</v>
      </c>
      <c r="G129" s="4"/>
      <c r="H129" s="85"/>
    </row>
    <row r="130" spans="2:10" ht="28.35" customHeight="1">
      <c r="C130" s="93" t="s">
        <v>107</v>
      </c>
      <c r="D130" s="94" t="s">
        <v>373</v>
      </c>
      <c r="E130" s="87"/>
      <c r="F130" s="200" t="s">
        <v>164</v>
      </c>
      <c r="G130" s="4"/>
      <c r="H130" s="85"/>
    </row>
    <row r="131" spans="2:10" ht="28.35" customHeight="1">
      <c r="C131" s="93" t="s">
        <v>108</v>
      </c>
      <c r="D131" s="94" t="s">
        <v>374</v>
      </c>
      <c r="E131" s="87"/>
      <c r="F131" s="200" t="s">
        <v>164</v>
      </c>
      <c r="G131" s="4"/>
      <c r="H131" s="85"/>
    </row>
    <row r="132" spans="2:10" ht="28.35" customHeight="1">
      <c r="C132" s="93" t="s">
        <v>109</v>
      </c>
      <c r="D132" s="94" t="s">
        <v>375</v>
      </c>
      <c r="E132" s="87"/>
      <c r="F132" s="200" t="s">
        <v>164</v>
      </c>
      <c r="G132" s="4"/>
      <c r="H132" s="85"/>
    </row>
    <row r="133" spans="2:10" ht="13.5">
      <c r="B133" s="85"/>
      <c r="C133" s="85"/>
      <c r="D133" s="95"/>
      <c r="E133" s="95" t="s">
        <v>174</v>
      </c>
      <c r="F133" s="96" t="str">
        <f>IF(F126="Yes",COUNTIF(F128:F132,"Yes") &amp;" of " &amp;COUNTIF(B128:C132,"*"),"-")</f>
        <v>-</v>
      </c>
      <c r="G133" s="97"/>
      <c r="H133" s="85"/>
    </row>
    <row r="134" spans="2:10" ht="6.75" customHeight="1">
      <c r="B134" s="85"/>
      <c r="C134" s="85"/>
      <c r="D134" s="95"/>
      <c r="E134" s="6"/>
      <c r="F134" s="107"/>
      <c r="G134" s="97"/>
      <c r="H134" s="85"/>
    </row>
    <row r="135" spans="2:10" ht="22.35" customHeight="1">
      <c r="B135" s="110"/>
      <c r="C135" s="111" t="s">
        <v>376</v>
      </c>
      <c r="D135" s="111"/>
      <c r="E135" s="112" t="str">
        <f>IF(Tabulations!E28=1, MAX(Tabulations!V28:AA28), 0) &amp;" of"</f>
        <v>0 of</v>
      </c>
      <c r="F135" s="111" t="str">
        <f>Tabulations!S28&amp;" Points"</f>
        <v>16 Points</v>
      </c>
      <c r="G135" s="111"/>
      <c r="H135" s="75"/>
    </row>
    <row r="136" spans="2:10" ht="27" customHeight="1">
      <c r="B136" s="113"/>
      <c r="C136" s="251" t="s">
        <v>377</v>
      </c>
      <c r="D136" s="252"/>
      <c r="E136" s="252"/>
      <c r="F136" s="252"/>
      <c r="G136" s="114"/>
      <c r="H136" s="78"/>
    </row>
    <row r="137" spans="2:10" ht="26.25" customHeight="1">
      <c r="B137" s="115"/>
      <c r="C137" s="253" t="s">
        <v>378</v>
      </c>
      <c r="D137" s="254"/>
      <c r="E137" s="254"/>
      <c r="F137" s="254"/>
      <c r="G137" s="116"/>
      <c r="H137" s="78"/>
    </row>
    <row r="138" spans="2:10" ht="48.75" customHeight="1">
      <c r="B138" s="115"/>
      <c r="C138" s="253" t="s">
        <v>379</v>
      </c>
      <c r="D138" s="254"/>
      <c r="E138" s="254"/>
      <c r="F138" s="254"/>
      <c r="G138" s="116"/>
      <c r="H138" s="78"/>
    </row>
    <row r="139" spans="2:10" ht="18" customHeight="1">
      <c r="B139" s="117"/>
      <c r="C139" s="255"/>
      <c r="D139" s="256"/>
      <c r="E139" s="118"/>
      <c r="F139" s="119" t="s">
        <v>103</v>
      </c>
      <c r="G139" s="120"/>
      <c r="H139" s="78"/>
    </row>
    <row r="140" spans="2:10" ht="29.1" customHeight="1">
      <c r="B140" s="85"/>
      <c r="C140" s="86"/>
      <c r="D140" s="86" t="s">
        <v>163</v>
      </c>
      <c r="E140" s="86"/>
      <c r="F140" s="204" t="s">
        <v>164</v>
      </c>
      <c r="G140" s="1"/>
      <c r="H140" s="85"/>
    </row>
    <row r="141" spans="2:10" ht="20.100000000000001" customHeight="1">
      <c r="B141" s="122"/>
      <c r="C141" s="248" t="s">
        <v>165</v>
      </c>
      <c r="D141" s="249"/>
      <c r="E141" s="130"/>
      <c r="F141" s="124" t="s">
        <v>166</v>
      </c>
      <c r="G141" s="125"/>
      <c r="H141" s="78"/>
    </row>
    <row r="142" spans="2:10" ht="28.35" customHeight="1">
      <c r="C142" s="126" t="s">
        <v>105</v>
      </c>
      <c r="D142" s="127" t="s">
        <v>380</v>
      </c>
      <c r="E142" s="128"/>
      <c r="F142" s="203" t="s">
        <v>164</v>
      </c>
      <c r="G142" s="7"/>
      <c r="H142" s="85"/>
      <c r="J142" s="132"/>
    </row>
    <row r="143" spans="2:10" ht="28.35" customHeight="1">
      <c r="C143" s="93" t="s">
        <v>106</v>
      </c>
      <c r="D143" s="94" t="s">
        <v>381</v>
      </c>
      <c r="E143" s="87">
        <f>IF(D144=lookup!J10,lookup!K10,IF(D144=lookup!J11,lookup!K11,2))</f>
        <v>2</v>
      </c>
      <c r="F143" s="208" t="str">
        <f>IF(F140="-","-",IF(D144="none","No","Yes"))</f>
        <v>-</v>
      </c>
      <c r="G143" s="4"/>
      <c r="H143" s="85"/>
    </row>
    <row r="144" spans="2:10" ht="74.849999999999994" customHeight="1">
      <c r="C144" s="93"/>
      <c r="D144" s="201" t="s">
        <v>204</v>
      </c>
      <c r="E144" s="106"/>
      <c r="F144" s="87"/>
      <c r="G144" s="4"/>
      <c r="H144" s="85"/>
    </row>
    <row r="145" spans="2:8" ht="28.35" customHeight="1">
      <c r="C145" s="93" t="s">
        <v>107</v>
      </c>
      <c r="D145" s="94" t="s">
        <v>382</v>
      </c>
      <c r="E145" s="87"/>
      <c r="F145" s="200" t="s">
        <v>164</v>
      </c>
      <c r="G145" s="4"/>
      <c r="H145" s="85"/>
    </row>
    <row r="146" spans="2:8" ht="28.35" customHeight="1">
      <c r="C146" s="94" t="s">
        <v>108</v>
      </c>
      <c r="D146" s="94" t="s">
        <v>383</v>
      </c>
      <c r="E146" s="87"/>
      <c r="F146" s="200" t="s">
        <v>164</v>
      </c>
      <c r="G146" s="4"/>
      <c r="H146" s="85"/>
    </row>
    <row r="147" spans="2:8" ht="13.5">
      <c r="B147" s="85"/>
      <c r="C147" s="85"/>
      <c r="D147" s="95"/>
      <c r="E147" s="95" t="s">
        <v>174</v>
      </c>
      <c r="F147" s="96" t="str">
        <f>IF(F140="Yes",COUNTIF(F142:F146,"Yes") &amp;" of " &amp;COUNTIF(B142:C146,"*"),"-")</f>
        <v>-</v>
      </c>
      <c r="G147" s="97"/>
      <c r="H147" s="85"/>
    </row>
    <row r="148" spans="2:8" ht="6.75" customHeight="1">
      <c r="B148" s="85"/>
      <c r="C148" s="85"/>
      <c r="D148" s="95"/>
      <c r="E148" s="6"/>
      <c r="F148" s="107"/>
      <c r="G148" s="97"/>
      <c r="H148" s="85"/>
    </row>
    <row r="149" spans="2:8" ht="22.35" customHeight="1">
      <c r="B149" s="110"/>
      <c r="C149" s="111" t="s">
        <v>384</v>
      </c>
      <c r="D149" s="111"/>
      <c r="E149" s="112" t="str">
        <f>IF(Tabulations!E29=1, MAX(Tabulations!V29:AA29), 0) &amp;" of"</f>
        <v>0 of</v>
      </c>
      <c r="F149" s="111" t="str">
        <f>Tabulations!S29&amp;" Points"</f>
        <v>14 Points</v>
      </c>
      <c r="G149" s="111"/>
      <c r="H149" s="75"/>
    </row>
    <row r="150" spans="2:8" ht="29.1" customHeight="1">
      <c r="B150" s="113"/>
      <c r="C150" s="251" t="s">
        <v>385</v>
      </c>
      <c r="D150" s="252"/>
      <c r="E150" s="252"/>
      <c r="F150" s="252"/>
      <c r="G150" s="114"/>
      <c r="H150" s="78"/>
    </row>
    <row r="151" spans="2:8" ht="29.1" customHeight="1">
      <c r="B151" s="115"/>
      <c r="C151" s="253" t="s">
        <v>386</v>
      </c>
      <c r="D151" s="254"/>
      <c r="E151" s="254"/>
      <c r="F151" s="254"/>
      <c r="G151" s="116"/>
      <c r="H151" s="78"/>
    </row>
    <row r="152" spans="2:8" ht="29.1" customHeight="1">
      <c r="B152" s="115"/>
      <c r="C152" s="253" t="s">
        <v>387</v>
      </c>
      <c r="D152" s="254"/>
      <c r="E152" s="254"/>
      <c r="F152" s="254"/>
      <c r="G152" s="116"/>
      <c r="H152" s="78"/>
    </row>
    <row r="153" spans="2:8" ht="18" customHeight="1">
      <c r="B153" s="117"/>
      <c r="C153" s="255"/>
      <c r="D153" s="256"/>
      <c r="E153" s="118"/>
      <c r="F153" s="119" t="s">
        <v>103</v>
      </c>
      <c r="G153" s="120"/>
      <c r="H153" s="78"/>
    </row>
    <row r="154" spans="2:8" ht="29.1" customHeight="1">
      <c r="B154" s="85"/>
      <c r="C154" s="86"/>
      <c r="D154" s="86" t="s">
        <v>163</v>
      </c>
      <c r="E154" s="86"/>
      <c r="F154" s="204" t="s">
        <v>164</v>
      </c>
      <c r="G154" s="1"/>
      <c r="H154" s="85"/>
    </row>
    <row r="155" spans="2:8" ht="20.100000000000001" customHeight="1">
      <c r="B155" s="122"/>
      <c r="C155" s="248" t="s">
        <v>165</v>
      </c>
      <c r="D155" s="249"/>
      <c r="E155" s="130"/>
      <c r="F155" s="124" t="s">
        <v>166</v>
      </c>
      <c r="G155" s="125"/>
      <c r="H155" s="78"/>
    </row>
    <row r="156" spans="2:8" ht="29.1" customHeight="1">
      <c r="C156" s="126" t="s">
        <v>105</v>
      </c>
      <c r="D156" s="127" t="s">
        <v>388</v>
      </c>
      <c r="E156" s="128"/>
      <c r="F156" s="203" t="s">
        <v>164</v>
      </c>
      <c r="G156" s="7"/>
      <c r="H156" s="85"/>
    </row>
    <row r="157" spans="2:8" ht="29.1" customHeight="1">
      <c r="C157" s="93" t="s">
        <v>106</v>
      </c>
      <c r="D157" s="94" t="s">
        <v>389</v>
      </c>
      <c r="E157" s="87"/>
      <c r="F157" s="200" t="s">
        <v>164</v>
      </c>
      <c r="G157" s="4"/>
      <c r="H157" s="85"/>
    </row>
    <row r="158" spans="2:8" ht="29.1" customHeight="1">
      <c r="C158" s="93" t="s">
        <v>107</v>
      </c>
      <c r="D158" s="94" t="s">
        <v>390</v>
      </c>
      <c r="E158" s="87"/>
      <c r="F158" s="200" t="s">
        <v>164</v>
      </c>
      <c r="G158" s="4"/>
      <c r="H158" s="85"/>
    </row>
    <row r="159" spans="2:8" ht="29.1" customHeight="1">
      <c r="C159" s="93" t="s">
        <v>108</v>
      </c>
      <c r="D159" s="94" t="s">
        <v>391</v>
      </c>
      <c r="E159" s="87"/>
      <c r="F159" s="200" t="s">
        <v>164</v>
      </c>
      <c r="G159" s="4"/>
      <c r="H159" s="85"/>
    </row>
    <row r="160" spans="2:8" ht="29.1" customHeight="1">
      <c r="C160" s="93" t="s">
        <v>109</v>
      </c>
      <c r="D160" s="94" t="s">
        <v>392</v>
      </c>
      <c r="E160" s="87"/>
      <c r="F160" s="200" t="s">
        <v>164</v>
      </c>
      <c r="G160" s="4"/>
      <c r="H160" s="85"/>
    </row>
    <row r="161" spans="2:8" ht="13.5">
      <c r="B161" s="85"/>
      <c r="C161" s="85"/>
      <c r="D161" s="95"/>
      <c r="E161" s="95" t="s">
        <v>174</v>
      </c>
      <c r="F161" s="96" t="str">
        <f>IF(F154="Yes",COUNTIF(F156:F160,"Yes") &amp;" of " &amp;COUNTIF(B156:C160,"*"),"-")</f>
        <v>-</v>
      </c>
      <c r="G161" s="97"/>
      <c r="H161" s="85"/>
    </row>
    <row r="162" spans="2:8" ht="6.75" customHeight="1">
      <c r="B162" s="85"/>
      <c r="C162" s="85"/>
      <c r="D162" s="95"/>
      <c r="E162" s="6"/>
      <c r="F162" s="107"/>
      <c r="G162" s="97"/>
      <c r="H162" s="85"/>
    </row>
    <row r="163" spans="2:8" ht="6.75" customHeight="1">
      <c r="B163" s="85"/>
      <c r="C163" s="85"/>
      <c r="D163" s="95"/>
      <c r="E163" s="6"/>
      <c r="F163" s="107"/>
      <c r="G163" s="97"/>
      <c r="H163" s="85"/>
    </row>
  </sheetData>
  <sheetProtection sheet="1" objects="1" scenarios="1"/>
  <mergeCells count="58">
    <mergeCell ref="C127:D127"/>
    <mergeCell ref="C119:F119"/>
    <mergeCell ref="C111:D111"/>
    <mergeCell ref="C122:F122"/>
    <mergeCell ref="C123:F123"/>
    <mergeCell ref="C124:F124"/>
    <mergeCell ref="C125:D125"/>
    <mergeCell ref="C151:F151"/>
    <mergeCell ref="C152:F152"/>
    <mergeCell ref="C153:D153"/>
    <mergeCell ref="C155:D155"/>
    <mergeCell ref="C136:F136"/>
    <mergeCell ref="C137:F137"/>
    <mergeCell ref="C138:F138"/>
    <mergeCell ref="C139:D139"/>
    <mergeCell ref="C141:D141"/>
    <mergeCell ref="C150:F150"/>
    <mergeCell ref="C83:D83"/>
    <mergeCell ref="C92:F92"/>
    <mergeCell ref="C93:F93"/>
    <mergeCell ref="C94:F94"/>
    <mergeCell ref="C95:D95"/>
    <mergeCell ref="C97:D97"/>
    <mergeCell ref="C106:F106"/>
    <mergeCell ref="C107:F107"/>
    <mergeCell ref="C108:F108"/>
    <mergeCell ref="C109:D109"/>
    <mergeCell ref="C81:D81"/>
    <mergeCell ref="C49:F49"/>
    <mergeCell ref="C50:D50"/>
    <mergeCell ref="C52:D52"/>
    <mergeCell ref="C64:F64"/>
    <mergeCell ref="C65:F65"/>
    <mergeCell ref="C66:F66"/>
    <mergeCell ref="C67:D67"/>
    <mergeCell ref="C69:D69"/>
    <mergeCell ref="C78:F78"/>
    <mergeCell ref="C79:F79"/>
    <mergeCell ref="C80:F80"/>
    <mergeCell ref="C61:F61"/>
    <mergeCell ref="C48:F48"/>
    <mergeCell ref="C19:F19"/>
    <mergeCell ref="C20:F20"/>
    <mergeCell ref="C21:F21"/>
    <mergeCell ref="C22:D22"/>
    <mergeCell ref="C24:D24"/>
    <mergeCell ref="C32:F32"/>
    <mergeCell ref="C33:F33"/>
    <mergeCell ref="C34:F34"/>
    <mergeCell ref="C35:D35"/>
    <mergeCell ref="C37:D37"/>
    <mergeCell ref="C47:F47"/>
    <mergeCell ref="C11:D11"/>
    <mergeCell ref="C3:F3"/>
    <mergeCell ref="C6:F6"/>
    <mergeCell ref="C7:F7"/>
    <mergeCell ref="C8:F8"/>
    <mergeCell ref="C9:D9"/>
  </mergeCells>
  <phoneticPr fontId="8" type="noConversion"/>
  <pageMargins left="0.5" right="0.5" top="0.75" bottom="0.75" header="0.3" footer="0"/>
  <pageSetup scale="91" orientation="portrait" r:id="rId1"/>
  <headerFooter differentFirst="1">
    <oddHeader>&amp;C&amp;"Open Sans Regular,Bold"&amp;9Envision Framework_x000D_Pre-Assessment Checklist</oddHeader>
    <firstHeader>&amp;C&amp;"-,Bold"&amp;8Envision Rating System
Pre-Assessment Checklist</firstHeader>
  </headerFooter>
  <rowBreaks count="6" manualBreakCount="6">
    <brk id="30" min="1" max="6" man="1"/>
    <brk id="45" min="1" max="6" man="1"/>
    <brk id="60" min="1" max="6" man="1"/>
    <brk id="76" min="1" max="6" man="1"/>
    <brk id="104" min="1" max="6" man="1"/>
    <brk id="134"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Group Box 1">
              <controlPr defaultSize="0" autoFill="0" autoPict="0">
                <anchor moveWithCells="1">
                  <from>
                    <xdr:col>4</xdr:col>
                    <xdr:colOff>0</xdr:colOff>
                    <xdr:row>9</xdr:row>
                    <xdr:rowOff>0</xdr:rowOff>
                  </from>
                  <to>
                    <xdr:col>9</xdr:col>
                    <xdr:colOff>142875</xdr:colOff>
                    <xdr:row>10</xdr:row>
                    <xdr:rowOff>0</xdr:rowOff>
                  </to>
                </anchor>
              </controlPr>
            </control>
          </mc:Choice>
        </mc:AlternateContent>
        <mc:AlternateContent xmlns:mc="http://schemas.openxmlformats.org/markup-compatibility/2006">
          <mc:Choice Requires="x14">
            <control shapeId="12290" r:id="rId5" name="Group Box 2">
              <controlPr defaultSize="0" autoFill="0" autoPict="0">
                <anchor moveWithCells="1">
                  <from>
                    <xdr:col>5</xdr:col>
                    <xdr:colOff>0</xdr:colOff>
                    <xdr:row>9</xdr:row>
                    <xdr:rowOff>0</xdr:rowOff>
                  </from>
                  <to>
                    <xdr:col>10</xdr:col>
                    <xdr:colOff>219075</xdr:colOff>
                    <xdr:row>10</xdr:row>
                    <xdr:rowOff>0</xdr:rowOff>
                  </to>
                </anchor>
              </controlPr>
            </control>
          </mc:Choice>
        </mc:AlternateContent>
        <mc:AlternateContent xmlns:mc="http://schemas.openxmlformats.org/markup-compatibility/2006">
          <mc:Choice Requires="x14">
            <control shapeId="12291" r:id="rId6" name="Group Box 3">
              <controlPr defaultSize="0" autoFill="0" autoPict="0">
                <anchor moveWithCells="1">
                  <from>
                    <xdr:col>5</xdr:col>
                    <xdr:colOff>0</xdr:colOff>
                    <xdr:row>9</xdr:row>
                    <xdr:rowOff>0</xdr:rowOff>
                  </from>
                  <to>
                    <xdr:col>10</xdr:col>
                    <xdr:colOff>219075</xdr:colOff>
                    <xdr:row>10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54911BD9-7B08-4FB8-A51E-A0BEDC47D717}">
            <xm:f>Tabulations!$E$19=2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B11:G11</xm:sqref>
        </x14:conditionalFormatting>
        <x14:conditionalFormatting xmlns:xm="http://schemas.microsoft.com/office/excel/2006/main">
          <x14:cfRule type="expression" priority="7" id="{6FC5DAD5-61D9-4271-A614-2DC9FC3FB4B8}">
            <xm:f>Tabulations!$E$19=2</xm:f>
            <x14:dxf>
              <font>
                <color theme="0" tint="-0.249977111117893"/>
              </font>
              <fill>
                <patternFill patternType="solid">
                  <fgColor indexed="64"/>
                  <bgColor theme="0" tint="-0.14999847407452621"/>
                </patternFill>
              </fill>
            </x14:dxf>
          </x14:cfRule>
          <xm:sqref>B12:G15</xm:sqref>
        </x14:conditionalFormatting>
        <x14:conditionalFormatting xmlns:xm="http://schemas.microsoft.com/office/excel/2006/main">
          <x14:cfRule type="expression" priority="31" id="{1E2E4CFD-40A4-4CDF-B46F-259586DDD74B}">
            <xm:f>Tabulations!$E$20=2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B24:G24</xm:sqref>
        </x14:conditionalFormatting>
        <x14:conditionalFormatting xmlns:xm="http://schemas.microsoft.com/office/excel/2006/main">
          <x14:cfRule type="expression" priority="30" id="{ABBCDD69-002D-4298-982C-6D8B8B4A6DCE}">
            <xm:f>Tabulations!$E$20=2</xm:f>
            <x14:dxf>
              <font>
                <color theme="0" tint="-0.249977111117893"/>
              </font>
              <fill>
                <patternFill patternType="solid">
                  <fgColor indexed="64"/>
                  <bgColor theme="0" tint="-0.14999847407452621"/>
                </patternFill>
              </fill>
            </x14:dxf>
          </x14:cfRule>
          <xm:sqref>B25:G28</xm:sqref>
        </x14:conditionalFormatting>
        <x14:conditionalFormatting xmlns:xm="http://schemas.microsoft.com/office/excel/2006/main">
          <x14:cfRule type="expression" priority="28" id="{BAF55E3C-7C9F-44C4-8581-A2CA2D32075D}">
            <xm:f>Tabulations!$E$21=2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B37:G37</xm:sqref>
        </x14:conditionalFormatting>
        <x14:conditionalFormatting xmlns:xm="http://schemas.microsoft.com/office/excel/2006/main">
          <x14:cfRule type="expression" priority="29" id="{9693AE13-D066-405C-BAA5-D0C4E97267FC}">
            <xm:f>Tabulations!$E$21=2</xm:f>
            <x14:dxf>
              <font>
                <color theme="0" tint="-0.249977111117893"/>
              </font>
              <fill>
                <patternFill patternType="solid">
                  <fgColor indexed="64"/>
                  <bgColor theme="0" tint="-0.14999847407452621"/>
                </patternFill>
              </fill>
            </x14:dxf>
          </x14:cfRule>
          <xm:sqref>B38:G43</xm:sqref>
        </x14:conditionalFormatting>
        <x14:conditionalFormatting xmlns:xm="http://schemas.microsoft.com/office/excel/2006/main">
          <x14:cfRule type="expression" priority="27" id="{022E6E63-9A0A-4E37-A504-2E8DAEB86A4C}">
            <xm:f>Tabulations!$E$22=2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B52:G52</xm:sqref>
        </x14:conditionalFormatting>
        <x14:conditionalFormatting xmlns:xm="http://schemas.microsoft.com/office/excel/2006/main">
          <x14:cfRule type="expression" priority="26" id="{859032FB-882F-4747-A70F-B132BF04F85E}">
            <xm:f>Tabulations!$E$22=2</xm:f>
            <x14:dxf>
              <font>
                <color theme="0" tint="-0.249977111117893"/>
              </font>
              <fill>
                <patternFill patternType="solid">
                  <fgColor indexed="64"/>
                  <bgColor theme="0" tint="-0.14999847407452621"/>
                </patternFill>
              </fill>
            </x14:dxf>
          </x14:cfRule>
          <xm:sqref>B53:G58</xm:sqref>
        </x14:conditionalFormatting>
        <x14:conditionalFormatting xmlns:xm="http://schemas.microsoft.com/office/excel/2006/main">
          <x14:cfRule type="expression" priority="25" id="{921A9E02-86B4-4E6D-A609-C3733FAF7FF4}">
            <xm:f>Tabulations!$E$23=2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B69:G69</xm:sqref>
        </x14:conditionalFormatting>
        <x14:conditionalFormatting xmlns:xm="http://schemas.microsoft.com/office/excel/2006/main">
          <x14:cfRule type="expression" priority="24" id="{798BC7AE-C6F9-4713-A628-2B97197C5805}">
            <xm:f>Tabulations!$E$23=2</xm:f>
            <x14:dxf>
              <font>
                <color theme="0" tint="-0.249977111117893"/>
              </font>
              <fill>
                <patternFill patternType="solid">
                  <fgColor indexed="64"/>
                  <bgColor theme="0" tint="-0.14999847407452621"/>
                </patternFill>
              </fill>
            </x14:dxf>
          </x14:cfRule>
          <xm:sqref>B70:G74</xm:sqref>
        </x14:conditionalFormatting>
        <x14:conditionalFormatting xmlns:xm="http://schemas.microsoft.com/office/excel/2006/main">
          <x14:cfRule type="expression" priority="23" id="{E1A61827-FC4D-4BC4-9B4D-934A57764E9C}">
            <xm:f>Tabulations!$E$24=2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B83:G83</xm:sqref>
        </x14:conditionalFormatting>
        <x14:conditionalFormatting xmlns:xm="http://schemas.microsoft.com/office/excel/2006/main">
          <x14:cfRule type="expression" priority="6" id="{B98B1E45-65E5-41FC-9B96-2A2797797366}">
            <xm:f>Tabulations!$E$24=2</xm:f>
            <x14:dxf>
              <font>
                <color theme="0" tint="-0.249977111117893"/>
              </font>
              <fill>
                <patternFill patternType="solid">
                  <fgColor indexed="64"/>
                  <bgColor theme="0" tint="-0.14999847407452621"/>
                </patternFill>
              </fill>
            </x14:dxf>
          </x14:cfRule>
          <xm:sqref>B84:G88</xm:sqref>
        </x14:conditionalFormatting>
        <x14:conditionalFormatting xmlns:xm="http://schemas.microsoft.com/office/excel/2006/main">
          <x14:cfRule type="expression" priority="21" id="{BE15819F-63F8-4626-9104-95A4491732C8}">
            <xm:f>Tabulations!$E$25=2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B97:G97</xm:sqref>
        </x14:conditionalFormatting>
        <x14:conditionalFormatting xmlns:xm="http://schemas.microsoft.com/office/excel/2006/main">
          <x14:cfRule type="expression" priority="20" id="{92A465AE-D4F3-4408-B4BD-1596BBE899FA}">
            <xm:f>Tabulations!$E$25=2</xm:f>
            <x14:dxf>
              <font>
                <color theme="0" tint="-0.249977111117893"/>
              </font>
              <fill>
                <patternFill patternType="solid">
                  <fgColor indexed="64"/>
                  <bgColor theme="0" tint="-0.14999847407452621"/>
                </patternFill>
              </fill>
            </x14:dxf>
          </x14:cfRule>
          <xm:sqref>B98:G102</xm:sqref>
        </x14:conditionalFormatting>
        <x14:conditionalFormatting xmlns:xm="http://schemas.microsoft.com/office/excel/2006/main">
          <x14:cfRule type="expression" priority="19" id="{10700ABC-03E0-4DAE-B703-3AA484EEE78F}">
            <xm:f>Tabulations!$E$26=2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B111:G111</xm:sqref>
        </x14:conditionalFormatting>
        <x14:conditionalFormatting xmlns:xm="http://schemas.microsoft.com/office/excel/2006/main">
          <x14:cfRule type="expression" priority="18" id="{A25D650A-548A-4999-A760-C9C3CDE9EAE9}">
            <xm:f>Tabulations!$E$26=2</xm:f>
            <x14:dxf>
              <font>
                <color theme="0" tint="-0.249977111117893"/>
              </font>
              <fill>
                <patternFill patternType="solid">
                  <fgColor indexed="64"/>
                  <bgColor theme="0" tint="-0.14999847407452621"/>
                </patternFill>
              </fill>
            </x14:dxf>
          </x14:cfRule>
          <xm:sqref>B112:G116</xm:sqref>
        </x14:conditionalFormatting>
        <x14:conditionalFormatting xmlns:xm="http://schemas.microsoft.com/office/excel/2006/main">
          <x14:cfRule type="expression" priority="17" id="{D1295AD2-0870-46BB-A36B-139D0B93D83B}">
            <xm:f>Tabulations!$E$27=2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B127:G127</xm:sqref>
        </x14:conditionalFormatting>
        <x14:conditionalFormatting xmlns:xm="http://schemas.microsoft.com/office/excel/2006/main">
          <x14:cfRule type="expression" priority="16" id="{7D5FAB22-DC58-424C-81F5-9594D3D99C41}">
            <xm:f>Tabulations!$E$27=2</xm:f>
            <x14:dxf>
              <font>
                <color theme="0" tint="-0.249977111117893"/>
              </font>
              <fill>
                <patternFill patternType="solid">
                  <fgColor indexed="64"/>
                  <bgColor theme="0" tint="-0.14999847407452621"/>
                </patternFill>
              </fill>
            </x14:dxf>
          </x14:cfRule>
          <xm:sqref>B128:G132</xm:sqref>
        </x14:conditionalFormatting>
        <x14:conditionalFormatting xmlns:xm="http://schemas.microsoft.com/office/excel/2006/main">
          <x14:cfRule type="expression" priority="15" id="{CDE942AC-A4C6-4EE7-8028-2BEBEA628DCA}">
            <xm:f>Tabulations!$E$28=2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B141:G141</xm:sqref>
        </x14:conditionalFormatting>
        <x14:conditionalFormatting xmlns:xm="http://schemas.microsoft.com/office/excel/2006/main">
          <x14:cfRule type="expression" priority="1" id="{CD791BF6-CC7F-4340-B2E8-1C91699C662B}">
            <xm:f>Tabulations!$E$28=2</xm:f>
            <x14:dxf>
              <font>
                <color theme="0" tint="-0.249977111117893"/>
              </font>
              <fill>
                <patternFill patternType="solid">
                  <fgColor indexed="64"/>
                  <bgColor theme="0" tint="-0.14999847407452621"/>
                </patternFill>
              </fill>
            </x14:dxf>
          </x14:cfRule>
          <xm:sqref>B142:G146</xm:sqref>
        </x14:conditionalFormatting>
        <x14:conditionalFormatting xmlns:xm="http://schemas.microsoft.com/office/excel/2006/main">
          <x14:cfRule type="expression" priority="13" id="{E2CACDE4-8391-4E90-B282-D7BC0DA098EF}">
            <xm:f>Tabulations!$E$29=2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B155:G155</xm:sqref>
        </x14:conditionalFormatting>
        <x14:conditionalFormatting xmlns:xm="http://schemas.microsoft.com/office/excel/2006/main">
          <x14:cfRule type="expression" priority="12" id="{5B9FE144-D9BD-49B1-9524-5212BA68D6DF}">
            <xm:f>Tabulations!$E$29=2</xm:f>
            <x14:dxf>
              <font>
                <color theme="0" tint="-0.249977111117893"/>
              </font>
              <fill>
                <patternFill patternType="solid">
                  <fgColor indexed="64"/>
                  <bgColor theme="0" tint="-0.14999847407452621"/>
                </patternFill>
              </fill>
            </x14:dxf>
          </x14:cfRule>
          <xm:sqref>B156:G160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lookup!$B$3:$B$5</xm:f>
          </x14:formula1>
          <xm:sqref>F10 F12:F15 F23 F25:F28 F36 F38:F43 F51 F68 F70:F74 F82 F58 F96 F84:F88 F110 F98:F102 F126 F112:F116 F140 F128:F132 F154 F156:F160 F53:F55 F145:F146 F142</xm:sqref>
        </x14:dataValidation>
        <x14:dataValidation type="list" allowBlank="1" showInputMessage="1" showErrorMessage="1" xr:uid="{00000000-0002-0000-0400-000001000000}">
          <x14:formula1>
            <xm:f>lookup!$J$4:$J$6</xm:f>
          </x14:formula1>
          <xm:sqref>D57</xm:sqref>
        </x14:dataValidation>
        <x14:dataValidation type="list" allowBlank="1" showInputMessage="1" showErrorMessage="1" xr:uid="{00000000-0002-0000-0400-000002000000}">
          <x14:formula1>
            <xm:f>lookup!$J$9:$J$11</xm:f>
          </x14:formula1>
          <xm:sqref>D144</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3603F"/>
  </sheetPr>
  <dimension ref="B1:J169"/>
  <sheetViews>
    <sheetView showGridLines="0" view="pageBreakPreview" zoomScaleNormal="70" zoomScaleSheetLayoutView="100" zoomScalePageLayoutView="150" workbookViewId="0">
      <selection activeCell="F10" sqref="F10"/>
    </sheetView>
  </sheetViews>
  <sheetFormatPr defaultColWidth="4.125" defaultRowHeight="15.75"/>
  <cols>
    <col min="1" max="2" width="1.125" style="57" customWidth="1"/>
    <col min="3" max="3" width="3.125" style="57" customWidth="1"/>
    <col min="4" max="4" width="61" style="57" customWidth="1"/>
    <col min="5" max="5" width="8.625" style="59" customWidth="1"/>
    <col min="6" max="6" width="12.125" style="60" customWidth="1"/>
    <col min="7" max="7" width="2.625" style="61" customWidth="1"/>
    <col min="8" max="9" width="4.125" style="57"/>
    <col min="10" max="10" width="7.625" style="57" bestFit="1" customWidth="1"/>
    <col min="11" max="16384" width="4.125" style="57"/>
  </cols>
  <sheetData>
    <row r="1" spans="2:10" ht="42" customHeight="1">
      <c r="D1" s="133" t="s">
        <v>393</v>
      </c>
    </row>
    <row r="2" spans="2:10" s="66" customFormat="1" ht="13.35" customHeight="1">
      <c r="B2" s="62"/>
      <c r="C2" s="62"/>
      <c r="D2" s="62"/>
      <c r="E2" s="62"/>
      <c r="F2" s="63"/>
      <c r="G2" s="64"/>
      <c r="H2" s="65"/>
    </row>
    <row r="3" spans="2:10" s="69" customFormat="1" ht="18" customHeight="1">
      <c r="B3" s="67"/>
      <c r="C3" s="260" t="s">
        <v>394</v>
      </c>
      <c r="D3" s="260"/>
      <c r="E3" s="260"/>
      <c r="F3" s="260"/>
      <c r="G3" s="64"/>
      <c r="H3" s="68"/>
    </row>
    <row r="4" spans="2:10" s="69" customFormat="1" ht="7.35" customHeight="1">
      <c r="B4" s="67"/>
      <c r="C4" s="70"/>
      <c r="D4" s="70"/>
      <c r="E4" s="70"/>
      <c r="F4" s="71"/>
      <c r="G4" s="64"/>
      <c r="H4" s="68"/>
    </row>
    <row r="5" spans="2:10" ht="22.35" customHeight="1">
      <c r="B5" s="134"/>
      <c r="C5" s="135" t="s">
        <v>395</v>
      </c>
      <c r="D5" s="135"/>
      <c r="E5" s="136" t="str">
        <f>IF(Tabulations!E32=1, MAX(Tabulations!V32:AA32), 0) &amp;" of"</f>
        <v>0 of</v>
      </c>
      <c r="F5" s="135" t="str">
        <f>Tabulations!S32&amp;" Points"</f>
        <v>12 Points</v>
      </c>
      <c r="G5" s="135"/>
      <c r="H5" s="75"/>
      <c r="J5" s="69"/>
    </row>
    <row r="6" spans="2:10" ht="28.35" customHeight="1">
      <c r="B6" s="137"/>
      <c r="C6" s="261" t="s">
        <v>396</v>
      </c>
      <c r="D6" s="262"/>
      <c r="E6" s="262"/>
      <c r="F6" s="262"/>
      <c r="G6" s="138"/>
      <c r="H6" s="78"/>
      <c r="J6" s="69"/>
    </row>
    <row r="7" spans="2:10" ht="28.35" customHeight="1">
      <c r="B7" s="139"/>
      <c r="C7" s="263" t="s">
        <v>397</v>
      </c>
      <c r="D7" s="264"/>
      <c r="E7" s="264"/>
      <c r="F7" s="264"/>
      <c r="G7" s="140"/>
      <c r="H7" s="78"/>
    </row>
    <row r="8" spans="2:10" ht="28.35" customHeight="1">
      <c r="B8" s="139"/>
      <c r="C8" s="265" t="s">
        <v>398</v>
      </c>
      <c r="D8" s="264"/>
      <c r="E8" s="264"/>
      <c r="F8" s="264"/>
      <c r="G8" s="140"/>
      <c r="H8" s="78"/>
    </row>
    <row r="9" spans="2:10" ht="18" customHeight="1">
      <c r="B9" s="141"/>
      <c r="C9" s="266"/>
      <c r="D9" s="267"/>
      <c r="E9" s="142"/>
      <c r="F9" s="143" t="s">
        <v>103</v>
      </c>
      <c r="G9" s="144"/>
      <c r="H9" s="78"/>
    </row>
    <row r="10" spans="2:10" ht="28.35" customHeight="1">
      <c r="B10" s="85"/>
      <c r="C10" s="86"/>
      <c r="D10" s="86" t="s">
        <v>163</v>
      </c>
      <c r="E10" s="121"/>
      <c r="F10" s="202" t="s">
        <v>164</v>
      </c>
      <c r="G10" s="1"/>
      <c r="H10" s="85"/>
    </row>
    <row r="11" spans="2:10" ht="20.100000000000001" customHeight="1">
      <c r="B11" s="145"/>
      <c r="C11" s="258" t="s">
        <v>165</v>
      </c>
      <c r="D11" s="259"/>
      <c r="E11" s="146"/>
      <c r="F11" s="147" t="s">
        <v>166</v>
      </c>
      <c r="G11" s="148"/>
      <c r="H11" s="78"/>
    </row>
    <row r="12" spans="2:10" ht="28.35" customHeight="1">
      <c r="C12" s="126" t="s">
        <v>105</v>
      </c>
      <c r="D12" s="127" t="s">
        <v>399</v>
      </c>
      <c r="E12" s="128"/>
      <c r="F12" s="203" t="s">
        <v>164</v>
      </c>
      <c r="G12" s="7"/>
      <c r="H12" s="85"/>
    </row>
    <row r="13" spans="2:10" ht="28.35" customHeight="1">
      <c r="C13" s="93" t="s">
        <v>106</v>
      </c>
      <c r="D13" s="94" t="s">
        <v>400</v>
      </c>
      <c r="E13" s="87">
        <f>VLOOKUP(D14,lookup!O4:P8,2,FALSE)</f>
        <v>2</v>
      </c>
      <c r="F13" s="108" t="str">
        <f>IF(F10="-","-",IF(D14="none","No","Yes"))</f>
        <v>-</v>
      </c>
      <c r="G13" s="4"/>
      <c r="H13" s="85"/>
    </row>
    <row r="14" spans="2:10" ht="34.5" customHeight="1">
      <c r="C14" s="93"/>
      <c r="D14" s="201" t="s">
        <v>204</v>
      </c>
      <c r="E14" s="149"/>
      <c r="F14" s="105"/>
      <c r="G14" s="4"/>
      <c r="H14" s="85"/>
    </row>
    <row r="15" spans="2:10" ht="18" customHeight="1">
      <c r="B15" s="85"/>
      <c r="C15" s="85"/>
      <c r="D15" s="95"/>
      <c r="E15" s="95" t="s">
        <v>174</v>
      </c>
      <c r="F15" s="96" t="str">
        <f>IF(F10="Yes",COUNTIF(F12:F14,"Yes") &amp;" of " &amp;COUNTIF(B12:C14,"*"),"-")</f>
        <v>-</v>
      </c>
      <c r="G15" s="97"/>
      <c r="H15" s="85"/>
    </row>
    <row r="16" spans="2:10" ht="7.35" customHeight="1">
      <c r="B16" s="85"/>
      <c r="C16" s="85"/>
      <c r="D16" s="98"/>
      <c r="E16" s="99"/>
      <c r="F16" s="100"/>
      <c r="G16" s="101"/>
      <c r="H16" s="85"/>
    </row>
    <row r="17" spans="2:10" ht="22.35" customHeight="1">
      <c r="B17" s="134"/>
      <c r="C17" s="135" t="s">
        <v>401</v>
      </c>
      <c r="D17" s="135"/>
      <c r="E17" s="136" t="str">
        <f>IF(Tabulations!E33=1, MAX(Tabulations!V33:AA33), 0) &amp;" of"</f>
        <v>0 of</v>
      </c>
      <c r="F17" s="135" t="str">
        <f>Tabulations!S33&amp;" Points"</f>
        <v>16 Points</v>
      </c>
      <c r="G17" s="135"/>
      <c r="H17" s="75"/>
      <c r="J17" s="69"/>
    </row>
    <row r="18" spans="2:10" ht="28.35" customHeight="1">
      <c r="B18" s="137"/>
      <c r="C18" s="261" t="s">
        <v>402</v>
      </c>
      <c r="D18" s="262"/>
      <c r="E18" s="262"/>
      <c r="F18" s="262"/>
      <c r="G18" s="138"/>
      <c r="H18" s="78"/>
      <c r="J18" s="69"/>
    </row>
    <row r="19" spans="2:10" ht="28.35" customHeight="1">
      <c r="B19" s="139"/>
      <c r="C19" s="263" t="s">
        <v>403</v>
      </c>
      <c r="D19" s="264"/>
      <c r="E19" s="264"/>
      <c r="F19" s="264"/>
      <c r="G19" s="140"/>
      <c r="H19" s="78"/>
    </row>
    <row r="20" spans="2:10" ht="28.35" customHeight="1">
      <c r="B20" s="139"/>
      <c r="C20" s="265" t="s">
        <v>398</v>
      </c>
      <c r="D20" s="264"/>
      <c r="E20" s="264"/>
      <c r="F20" s="264"/>
      <c r="G20" s="140"/>
      <c r="H20" s="78"/>
    </row>
    <row r="21" spans="2:10" ht="18" customHeight="1">
      <c r="B21" s="141"/>
      <c r="C21" s="266"/>
      <c r="D21" s="267"/>
      <c r="E21" s="142"/>
      <c r="F21" s="143" t="s">
        <v>103</v>
      </c>
      <c r="G21" s="144"/>
      <c r="H21" s="78"/>
    </row>
    <row r="22" spans="2:10" ht="29.1" customHeight="1">
      <c r="B22" s="85"/>
      <c r="C22" s="86"/>
      <c r="D22" s="86" t="s">
        <v>163</v>
      </c>
      <c r="E22" s="103"/>
      <c r="F22" s="204" t="s">
        <v>164</v>
      </c>
      <c r="G22" s="1"/>
      <c r="H22" s="85"/>
    </row>
    <row r="23" spans="2:10" ht="20.100000000000001" customHeight="1">
      <c r="B23" s="145"/>
      <c r="C23" s="258" t="s">
        <v>165</v>
      </c>
      <c r="D23" s="259"/>
      <c r="E23" s="150"/>
      <c r="F23" s="147" t="s">
        <v>166</v>
      </c>
      <c r="G23" s="148"/>
      <c r="H23" s="78"/>
    </row>
    <row r="24" spans="2:10" ht="29.85" customHeight="1">
      <c r="C24" s="126" t="s">
        <v>105</v>
      </c>
      <c r="D24" s="94" t="s">
        <v>404</v>
      </c>
      <c r="E24" s="87">
        <f>VLOOKUP(D25,lookup!O11:P15,2,FALSE)</f>
        <v>2</v>
      </c>
      <c r="F24" s="88" t="str">
        <f>IF(F22="-","-",IF(D25="none","No","Yes"))</f>
        <v>-</v>
      </c>
      <c r="G24" s="7"/>
    </row>
    <row r="25" spans="2:10" ht="34.5" customHeight="1">
      <c r="C25" s="93"/>
      <c r="D25" s="201" t="s">
        <v>204</v>
      </c>
      <c r="E25" s="149"/>
      <c r="F25" s="105"/>
      <c r="G25" s="4"/>
    </row>
    <row r="26" spans="2:10" ht="18" customHeight="1">
      <c r="B26" s="85"/>
      <c r="C26" s="85"/>
      <c r="D26" s="95"/>
      <c r="E26" s="95" t="s">
        <v>174</v>
      </c>
      <c r="F26" s="96" t="str">
        <f>IF(F22="Yes",COUNTIF(F24:F25,"Yes") &amp;" of " &amp;COUNTIF(B24:C25,"*"),"-")</f>
        <v>-</v>
      </c>
      <c r="G26" s="97"/>
      <c r="H26" s="85"/>
    </row>
    <row r="27" spans="2:10" ht="7.35" customHeight="1">
      <c r="B27" s="85"/>
      <c r="C27" s="85"/>
      <c r="D27" s="98"/>
      <c r="E27" s="99"/>
      <c r="F27" s="100" t="s">
        <v>185</v>
      </c>
      <c r="G27" s="101"/>
      <c r="H27" s="85"/>
    </row>
    <row r="28" spans="2:10" ht="22.35" customHeight="1">
      <c r="B28" s="134"/>
      <c r="C28" s="135" t="s">
        <v>405</v>
      </c>
      <c r="D28" s="135"/>
      <c r="E28" s="136" t="str">
        <f>IF(Tabulations!E34=1, MAX(Tabulations!V34:AA34), 0) &amp;" of"</f>
        <v>0 of</v>
      </c>
      <c r="F28" s="135" t="str">
        <f>Tabulations!S34&amp;" Points"</f>
        <v>14 Points</v>
      </c>
      <c r="G28" s="135"/>
      <c r="H28" s="75"/>
      <c r="J28" s="69"/>
    </row>
    <row r="29" spans="2:10" ht="28.35" customHeight="1">
      <c r="B29" s="137"/>
      <c r="C29" s="261" t="s">
        <v>406</v>
      </c>
      <c r="D29" s="262"/>
      <c r="E29" s="262"/>
      <c r="F29" s="262"/>
      <c r="G29" s="138"/>
      <c r="H29" s="78"/>
      <c r="J29" s="69"/>
    </row>
    <row r="30" spans="2:10" ht="28.35" customHeight="1">
      <c r="B30" s="139"/>
      <c r="C30" s="263" t="s">
        <v>407</v>
      </c>
      <c r="D30" s="264"/>
      <c r="E30" s="264"/>
      <c r="F30" s="264"/>
      <c r="G30" s="140"/>
      <c r="H30" s="78"/>
    </row>
    <row r="31" spans="2:10" ht="28.35" customHeight="1">
      <c r="B31" s="139"/>
      <c r="C31" s="265" t="s">
        <v>408</v>
      </c>
      <c r="D31" s="264"/>
      <c r="E31" s="264"/>
      <c r="F31" s="264"/>
      <c r="G31" s="140"/>
      <c r="H31" s="78"/>
    </row>
    <row r="32" spans="2:10" ht="18" customHeight="1">
      <c r="B32" s="141"/>
      <c r="C32" s="266"/>
      <c r="D32" s="267"/>
      <c r="E32" s="142"/>
      <c r="F32" s="143" t="s">
        <v>103</v>
      </c>
      <c r="G32" s="144"/>
      <c r="H32" s="78"/>
    </row>
    <row r="33" spans="2:10" ht="29.1" customHeight="1">
      <c r="B33" s="85"/>
      <c r="C33" s="86"/>
      <c r="D33" s="86" t="s">
        <v>163</v>
      </c>
      <c r="E33" s="103"/>
      <c r="F33" s="204" t="s">
        <v>164</v>
      </c>
      <c r="G33" s="1"/>
      <c r="H33" s="85"/>
    </row>
    <row r="34" spans="2:10" ht="20.100000000000001" customHeight="1">
      <c r="B34" s="145"/>
      <c r="C34" s="258" t="s">
        <v>165</v>
      </c>
      <c r="D34" s="259"/>
      <c r="E34" s="150"/>
      <c r="F34" s="147" t="s">
        <v>166</v>
      </c>
      <c r="G34" s="148"/>
      <c r="H34" s="78"/>
    </row>
    <row r="35" spans="2:10" ht="29.1" customHeight="1">
      <c r="C35" s="126" t="s">
        <v>105</v>
      </c>
      <c r="D35" s="127" t="s">
        <v>409</v>
      </c>
      <c r="E35" s="128"/>
      <c r="F35" s="203" t="s">
        <v>164</v>
      </c>
      <c r="G35" s="7"/>
      <c r="H35" s="85"/>
    </row>
    <row r="36" spans="2:10" ht="28.35" customHeight="1">
      <c r="C36" s="126" t="s">
        <v>106</v>
      </c>
      <c r="D36" s="94" t="s">
        <v>410</v>
      </c>
      <c r="E36" s="87">
        <f>IF(D37=lookup!O19,lookup!P19,IF(D37=lookup!O20,lookup!P20,IF(D37=lookup!O21,lookup!P21,IF(D37=lookup!O22,lookup!P22,2))))</f>
        <v>2</v>
      </c>
      <c r="F36" s="88" t="str">
        <f>IF(F33="-","-",IF(D37="none","No","Yes"))</f>
        <v>-</v>
      </c>
      <c r="G36" s="7"/>
      <c r="H36" s="85"/>
    </row>
    <row r="37" spans="2:10" ht="38.1" customHeight="1">
      <c r="C37" s="93"/>
      <c r="D37" s="201" t="s">
        <v>204</v>
      </c>
      <c r="E37" s="149"/>
      <c r="F37" s="105"/>
      <c r="G37" s="4"/>
      <c r="H37" s="85"/>
    </row>
    <row r="38" spans="2:10" ht="18" customHeight="1">
      <c r="B38" s="85"/>
      <c r="C38" s="85"/>
      <c r="D38" s="95"/>
      <c r="E38" s="95" t="s">
        <v>174</v>
      </c>
      <c r="F38" s="96" t="str">
        <f>IF(F33="Yes",COUNTIF(F35:F37,"Yes") &amp;" of " &amp;COUNTIF(B35:C37,"*"),"-")</f>
        <v>-</v>
      </c>
      <c r="G38" s="97"/>
      <c r="H38" s="85"/>
    </row>
    <row r="39" spans="2:10" ht="7.35" customHeight="1">
      <c r="B39" s="85"/>
      <c r="C39" s="85"/>
      <c r="D39" s="98"/>
      <c r="E39" s="99"/>
      <c r="F39" s="100"/>
      <c r="G39" s="101"/>
      <c r="H39" s="85"/>
    </row>
    <row r="40" spans="2:10" ht="22.35" customHeight="1">
      <c r="B40" s="134"/>
      <c r="C40" s="135" t="s">
        <v>411</v>
      </c>
      <c r="D40" s="135"/>
      <c r="E40" s="136" t="str">
        <f>IF(Tabulations!E35=1, MAX(Tabulations!V35:AA35), 0) &amp;" of"</f>
        <v>0 of</v>
      </c>
      <c r="F40" s="135" t="str">
        <f>Tabulations!S35&amp;" Points"</f>
        <v>16 Points</v>
      </c>
      <c r="G40" s="135"/>
      <c r="H40" s="75"/>
      <c r="J40" s="69"/>
    </row>
    <row r="41" spans="2:10" ht="28.35" customHeight="1">
      <c r="B41" s="137"/>
      <c r="C41" s="261" t="s">
        <v>412</v>
      </c>
      <c r="D41" s="262"/>
      <c r="E41" s="262"/>
      <c r="F41" s="262"/>
      <c r="G41" s="138"/>
      <c r="H41" s="78"/>
      <c r="J41" s="69"/>
    </row>
    <row r="42" spans="2:10" ht="28.35" customHeight="1">
      <c r="B42" s="139"/>
      <c r="C42" s="263" t="s">
        <v>413</v>
      </c>
      <c r="D42" s="264"/>
      <c r="E42" s="264"/>
      <c r="F42" s="264"/>
      <c r="G42" s="140"/>
      <c r="H42" s="78"/>
    </row>
    <row r="43" spans="2:10" ht="28.35" customHeight="1">
      <c r="B43" s="139"/>
      <c r="C43" s="265" t="s">
        <v>414</v>
      </c>
      <c r="D43" s="264"/>
      <c r="E43" s="264"/>
      <c r="F43" s="264"/>
      <c r="G43" s="140"/>
      <c r="H43" s="78"/>
    </row>
    <row r="44" spans="2:10" ht="18" customHeight="1">
      <c r="B44" s="141"/>
      <c r="C44" s="266"/>
      <c r="D44" s="267"/>
      <c r="E44" s="142"/>
      <c r="F44" s="143" t="s">
        <v>103</v>
      </c>
      <c r="G44" s="144"/>
      <c r="H44" s="78"/>
    </row>
    <row r="45" spans="2:10" ht="29.1" customHeight="1">
      <c r="B45" s="85"/>
      <c r="C45" s="86"/>
      <c r="D45" s="86" t="s">
        <v>163</v>
      </c>
      <c r="E45" s="103"/>
      <c r="F45" s="204" t="s">
        <v>164</v>
      </c>
      <c r="G45" s="1"/>
      <c r="H45" s="85"/>
    </row>
    <row r="46" spans="2:10" ht="20.100000000000001" customHeight="1">
      <c r="B46" s="151"/>
      <c r="C46" s="268" t="s">
        <v>165</v>
      </c>
      <c r="D46" s="269"/>
      <c r="E46" s="152"/>
      <c r="F46" s="153" t="s">
        <v>166</v>
      </c>
      <c r="G46" s="154"/>
      <c r="H46" s="78"/>
    </row>
    <row r="47" spans="2:10" ht="29.1" customHeight="1">
      <c r="C47" s="126" t="s">
        <v>105</v>
      </c>
      <c r="D47" s="94" t="s">
        <v>415</v>
      </c>
      <c r="E47" s="87"/>
      <c r="F47" s="200" t="s">
        <v>164</v>
      </c>
      <c r="G47" s="7"/>
      <c r="H47" s="85"/>
    </row>
    <row r="48" spans="2:10" ht="29.1" customHeight="1">
      <c r="C48" s="126" t="s">
        <v>106</v>
      </c>
      <c r="D48" s="94" t="s">
        <v>416</v>
      </c>
      <c r="E48" s="87">
        <f>IF(D49=lookup!O26,lookup!P26,IF(D49=lookup!O27,lookup!P27,IF(D49=lookup!O28,lookup!P28,IF(D49=lookup!O29,lookup!P29,2))))</f>
        <v>2</v>
      </c>
      <c r="F48" s="88" t="str">
        <f>IF(F45="-","-",IF(D49="none","No","Yes"))</f>
        <v>-</v>
      </c>
      <c r="G48" s="7"/>
      <c r="H48" s="85"/>
    </row>
    <row r="49" spans="2:10" ht="39" customHeight="1">
      <c r="C49" s="93"/>
      <c r="D49" s="201" t="s">
        <v>204</v>
      </c>
      <c r="E49" s="149"/>
      <c r="F49" s="105"/>
      <c r="G49" s="4"/>
      <c r="H49" s="85"/>
    </row>
    <row r="50" spans="2:10" ht="18" customHeight="1">
      <c r="B50" s="85"/>
      <c r="C50" s="85"/>
      <c r="D50" s="95"/>
      <c r="E50" s="95" t="s">
        <v>174</v>
      </c>
      <c r="F50" s="96" t="str">
        <f>IF(F45="Yes",COUNTIF(F47:F49,"Yes") &amp;" of " &amp;COUNTIF(B47:C49,"*"),"-")</f>
        <v>-</v>
      </c>
      <c r="G50" s="97"/>
      <c r="H50" s="85"/>
    </row>
    <row r="51" spans="2:10" ht="18" customHeight="1">
      <c r="B51" s="85"/>
      <c r="C51" s="85"/>
      <c r="D51" s="95"/>
      <c r="E51" s="95"/>
      <c r="F51" s="96"/>
      <c r="G51" s="97"/>
      <c r="H51" s="85"/>
    </row>
    <row r="52" spans="2:10" ht="7.35" customHeight="1">
      <c r="B52" s="85"/>
      <c r="C52" s="85"/>
      <c r="D52" s="98"/>
      <c r="E52" s="99"/>
      <c r="F52" s="100"/>
      <c r="G52" s="101"/>
      <c r="H52" s="85"/>
    </row>
    <row r="53" spans="2:10" ht="22.35" customHeight="1">
      <c r="B53" s="134"/>
      <c r="C53" s="135" t="s">
        <v>417</v>
      </c>
      <c r="D53" s="135"/>
      <c r="E53" s="136" t="str">
        <f>IF(Tabulations!E36=1, MAX(Tabulations!V36:AA36), 0) &amp;" of"</f>
        <v>0 of</v>
      </c>
      <c r="F53" s="135" t="str">
        <f>Tabulations!S36&amp;" Points"</f>
        <v>8 Points</v>
      </c>
      <c r="G53" s="135"/>
      <c r="H53" s="75"/>
      <c r="J53" s="69"/>
    </row>
    <row r="54" spans="2:10" ht="28.35" customHeight="1">
      <c r="B54" s="137"/>
      <c r="C54" s="261" t="s">
        <v>418</v>
      </c>
      <c r="D54" s="262"/>
      <c r="E54" s="262"/>
      <c r="F54" s="262"/>
      <c r="G54" s="138"/>
      <c r="H54" s="78"/>
      <c r="J54" s="69"/>
    </row>
    <row r="55" spans="2:10" ht="28.35" customHeight="1">
      <c r="B55" s="139"/>
      <c r="C55" s="263" t="s">
        <v>419</v>
      </c>
      <c r="D55" s="264"/>
      <c r="E55" s="264"/>
      <c r="F55" s="264"/>
      <c r="G55" s="140"/>
      <c r="H55" s="78"/>
    </row>
    <row r="56" spans="2:10" ht="79.349999999999994" customHeight="1">
      <c r="B56" s="139"/>
      <c r="C56" s="265" t="s">
        <v>420</v>
      </c>
      <c r="D56" s="264"/>
      <c r="E56" s="264"/>
      <c r="F56" s="264"/>
      <c r="G56" s="140"/>
      <c r="H56" s="78"/>
    </row>
    <row r="57" spans="2:10" ht="18" customHeight="1">
      <c r="B57" s="141"/>
      <c r="C57" s="266"/>
      <c r="D57" s="267"/>
      <c r="E57" s="142"/>
      <c r="F57" s="143" t="s">
        <v>103</v>
      </c>
      <c r="G57" s="144"/>
      <c r="H57" s="78"/>
    </row>
    <row r="58" spans="2:10" ht="29.1" customHeight="1">
      <c r="B58" s="85"/>
      <c r="C58" s="86"/>
      <c r="D58" s="86" t="s">
        <v>163</v>
      </c>
      <c r="E58" s="86"/>
      <c r="F58" s="204" t="s">
        <v>164</v>
      </c>
      <c r="G58" s="1"/>
      <c r="H58" s="85"/>
    </row>
    <row r="59" spans="2:10" ht="20.100000000000001" customHeight="1">
      <c r="B59" s="145"/>
      <c r="C59" s="258" t="s">
        <v>165</v>
      </c>
      <c r="D59" s="259"/>
      <c r="E59" s="150"/>
      <c r="F59" s="147" t="s">
        <v>166</v>
      </c>
      <c r="G59" s="148"/>
      <c r="H59" s="78"/>
    </row>
    <row r="60" spans="2:10" ht="29.1" customHeight="1">
      <c r="C60" s="126" t="s">
        <v>105</v>
      </c>
      <c r="D60" s="94" t="s">
        <v>421</v>
      </c>
      <c r="E60" s="87">
        <f>VLOOKUP(D61,lookup!O32:P36,2,FALSE)</f>
        <v>2</v>
      </c>
      <c r="F60" s="88" t="str">
        <f>IF(F58="-","-",IF(D61="none","No","Yes"))</f>
        <v>-</v>
      </c>
      <c r="G60" s="7"/>
      <c r="H60" s="85"/>
    </row>
    <row r="61" spans="2:10" ht="62.25" customHeight="1">
      <c r="C61" s="93"/>
      <c r="D61" s="201" t="s">
        <v>204</v>
      </c>
      <c r="E61" s="88"/>
      <c r="F61" s="105"/>
      <c r="G61" s="4"/>
      <c r="H61" s="85"/>
    </row>
    <row r="62" spans="2:10" ht="18" customHeight="1">
      <c r="B62" s="85"/>
      <c r="C62" s="85"/>
      <c r="D62" s="95"/>
      <c r="E62" s="95" t="s">
        <v>174</v>
      </c>
      <c r="F62" s="96" t="str">
        <f>IF(F58="Yes",COUNTIF(F60:F61,"Yes") &amp;" of " &amp;COUNTIF(B60:C61,"*"),"-")</f>
        <v>-</v>
      </c>
      <c r="G62" s="97"/>
      <c r="H62" s="85"/>
    </row>
    <row r="63" spans="2:10" ht="7.5" customHeight="1">
      <c r="B63" s="85"/>
      <c r="C63" s="85"/>
      <c r="D63" s="95"/>
      <c r="E63" s="95"/>
      <c r="F63" s="96"/>
      <c r="G63" s="97"/>
      <c r="H63" s="85"/>
    </row>
    <row r="64" spans="2:10" s="69" customFormat="1" ht="18" customHeight="1">
      <c r="B64" s="67"/>
      <c r="C64" s="250" t="s">
        <v>422</v>
      </c>
      <c r="D64" s="250"/>
      <c r="E64" s="250"/>
      <c r="F64" s="250"/>
      <c r="G64" s="64"/>
      <c r="H64" s="68"/>
    </row>
    <row r="65" spans="2:10" ht="6.75" customHeight="1">
      <c r="B65" s="85"/>
      <c r="C65" s="85"/>
      <c r="D65" s="95"/>
      <c r="E65" s="6"/>
      <c r="F65" s="107"/>
      <c r="G65" s="97"/>
      <c r="H65" s="85"/>
    </row>
    <row r="66" spans="2:10" ht="22.35" customHeight="1">
      <c r="B66" s="134"/>
      <c r="C66" s="135" t="s">
        <v>423</v>
      </c>
      <c r="D66" s="135"/>
      <c r="E66" s="136" t="str">
        <f>IF(Tabulations!E37=1, MAX(Tabulations!V37:AA37), 0) &amp;" of"</f>
        <v>0 of</v>
      </c>
      <c r="F66" s="135" t="str">
        <f>Tabulations!S37&amp;" Points"</f>
        <v>26 Points</v>
      </c>
      <c r="G66" s="135"/>
      <c r="H66" s="75"/>
      <c r="J66" s="69"/>
    </row>
    <row r="67" spans="2:10" ht="28.35" customHeight="1">
      <c r="B67" s="137"/>
      <c r="C67" s="261" t="s">
        <v>424</v>
      </c>
      <c r="D67" s="262"/>
      <c r="E67" s="262"/>
      <c r="F67" s="262"/>
      <c r="G67" s="138"/>
      <c r="H67" s="78"/>
      <c r="J67" s="69"/>
    </row>
    <row r="68" spans="2:10" ht="28.35" customHeight="1">
      <c r="B68" s="139"/>
      <c r="C68" s="263" t="s">
        <v>425</v>
      </c>
      <c r="D68" s="264"/>
      <c r="E68" s="264"/>
      <c r="F68" s="264"/>
      <c r="G68" s="140"/>
      <c r="H68" s="78"/>
    </row>
    <row r="69" spans="2:10" ht="62.85" customHeight="1">
      <c r="B69" s="139"/>
      <c r="C69" s="265" t="s">
        <v>426</v>
      </c>
      <c r="D69" s="264"/>
      <c r="E69" s="264"/>
      <c r="F69" s="264"/>
      <c r="G69" s="140"/>
      <c r="H69" s="78"/>
    </row>
    <row r="70" spans="2:10" ht="18" customHeight="1">
      <c r="B70" s="141"/>
      <c r="C70" s="266"/>
      <c r="D70" s="267"/>
      <c r="E70" s="142"/>
      <c r="F70" s="143" t="s">
        <v>103</v>
      </c>
      <c r="G70" s="144"/>
      <c r="H70" s="78"/>
    </row>
    <row r="71" spans="2:10" ht="29.1" customHeight="1">
      <c r="B71" s="85"/>
      <c r="C71" s="86"/>
      <c r="D71" s="86" t="s">
        <v>163</v>
      </c>
      <c r="E71" s="86"/>
      <c r="F71" s="204" t="s">
        <v>164</v>
      </c>
      <c r="G71" s="1"/>
      <c r="H71" s="85"/>
    </row>
    <row r="72" spans="2:10" ht="20.100000000000001" customHeight="1">
      <c r="B72" s="145"/>
      <c r="C72" s="258" t="s">
        <v>165</v>
      </c>
      <c r="D72" s="259"/>
      <c r="E72" s="150"/>
      <c r="F72" s="147" t="s">
        <v>166</v>
      </c>
      <c r="G72" s="148"/>
      <c r="H72" s="78"/>
    </row>
    <row r="73" spans="2:10" ht="29.1" customHeight="1">
      <c r="C73" s="126" t="s">
        <v>105</v>
      </c>
      <c r="D73" s="127" t="s">
        <v>427</v>
      </c>
      <c r="E73" s="128"/>
      <c r="F73" s="203" t="s">
        <v>164</v>
      </c>
      <c r="G73" s="7"/>
      <c r="H73" s="85"/>
    </row>
    <row r="74" spans="2:10" ht="29.1" customHeight="1">
      <c r="C74" s="126" t="s">
        <v>106</v>
      </c>
      <c r="D74" s="94" t="s">
        <v>428</v>
      </c>
      <c r="E74" s="87">
        <f>VLOOKUP(D75,lookup!O39:P43,2,FALSE)</f>
        <v>2</v>
      </c>
      <c r="F74" s="88" t="str">
        <f>IF(F71="-","-",IF(D75="none","No","Yes"))</f>
        <v>-</v>
      </c>
      <c r="G74" s="7"/>
      <c r="H74" s="85"/>
    </row>
    <row r="75" spans="2:10" ht="29.1" customHeight="1">
      <c r="C75" s="93"/>
      <c r="D75" s="201" t="s">
        <v>204</v>
      </c>
      <c r="E75" s="149"/>
      <c r="F75" s="105"/>
      <c r="G75" s="4"/>
      <c r="H75" s="85"/>
    </row>
    <row r="76" spans="2:10" ht="13.5">
      <c r="B76" s="85"/>
      <c r="C76" s="85"/>
      <c r="D76" s="95"/>
      <c r="E76" s="95" t="s">
        <v>174</v>
      </c>
      <c r="F76" s="96" t="str">
        <f>IF(F71="Yes",COUNTIF(F73:F75,"Yes") &amp;" of " &amp;COUNTIF(B73:C75,"*"),"-")</f>
        <v>-</v>
      </c>
      <c r="G76" s="97"/>
      <c r="H76" s="85"/>
    </row>
    <row r="77" spans="2:10" ht="6.75" customHeight="1">
      <c r="B77" s="85"/>
      <c r="C77" s="85"/>
      <c r="D77" s="95"/>
      <c r="E77" s="6"/>
      <c r="F77" s="107"/>
      <c r="G77" s="97"/>
      <c r="H77" s="85"/>
    </row>
    <row r="78" spans="2:10" ht="22.35" customHeight="1">
      <c r="B78" s="134"/>
      <c r="C78" s="135" t="s">
        <v>429</v>
      </c>
      <c r="D78" s="135"/>
      <c r="E78" s="136" t="str">
        <f>IF(Tabulations!E38=1, MAX(Tabulations!V38:AA38), 0) &amp;" of"</f>
        <v>0 of</v>
      </c>
      <c r="F78" s="135" t="str">
        <f>Tabulations!S38&amp;" Points"</f>
        <v>12 Points</v>
      </c>
      <c r="G78" s="135"/>
      <c r="H78" s="75"/>
      <c r="J78" s="69"/>
    </row>
    <row r="79" spans="2:10" ht="28.35" customHeight="1">
      <c r="B79" s="137"/>
      <c r="C79" s="261" t="s">
        <v>430</v>
      </c>
      <c r="D79" s="262"/>
      <c r="E79" s="262"/>
      <c r="F79" s="262"/>
      <c r="G79" s="138"/>
      <c r="H79" s="78"/>
      <c r="J79" s="69"/>
    </row>
    <row r="80" spans="2:10" ht="28.35" customHeight="1">
      <c r="B80" s="139"/>
      <c r="C80" s="263" t="s">
        <v>431</v>
      </c>
      <c r="D80" s="264"/>
      <c r="E80" s="264"/>
      <c r="F80" s="264"/>
      <c r="G80" s="140"/>
      <c r="H80" s="78"/>
    </row>
    <row r="81" spans="2:10" ht="60" customHeight="1">
      <c r="B81" s="139"/>
      <c r="C81" s="265" t="s">
        <v>432</v>
      </c>
      <c r="D81" s="264"/>
      <c r="E81" s="264"/>
      <c r="F81" s="264"/>
      <c r="G81" s="140"/>
      <c r="H81" s="78"/>
    </row>
    <row r="82" spans="2:10" ht="18" customHeight="1">
      <c r="B82" s="141"/>
      <c r="C82" s="266"/>
      <c r="D82" s="267"/>
      <c r="E82" s="142"/>
      <c r="F82" s="143" t="s">
        <v>103</v>
      </c>
      <c r="G82" s="144"/>
      <c r="H82" s="78"/>
    </row>
    <row r="83" spans="2:10" ht="29.1" customHeight="1">
      <c r="B83" s="85"/>
      <c r="C83" s="86"/>
      <c r="D83" s="86" t="s">
        <v>163</v>
      </c>
      <c r="E83" s="86"/>
      <c r="F83" s="204" t="s">
        <v>164</v>
      </c>
      <c r="G83" s="1"/>
      <c r="H83" s="85"/>
    </row>
    <row r="84" spans="2:10" ht="20.100000000000001" customHeight="1">
      <c r="B84" s="145"/>
      <c r="C84" s="258" t="s">
        <v>165</v>
      </c>
      <c r="D84" s="259"/>
      <c r="E84" s="150"/>
      <c r="F84" s="147" t="s">
        <v>166</v>
      </c>
      <c r="G84" s="148"/>
      <c r="H84" s="78"/>
    </row>
    <row r="85" spans="2:10" ht="29.1" customHeight="1">
      <c r="C85" s="126" t="s">
        <v>105</v>
      </c>
      <c r="D85" s="127" t="s">
        <v>433</v>
      </c>
      <c r="E85" s="128"/>
      <c r="F85" s="203" t="s">
        <v>164</v>
      </c>
      <c r="G85" s="7"/>
      <c r="H85" s="85"/>
    </row>
    <row r="86" spans="2:10" ht="29.1" customHeight="1">
      <c r="C86" s="126" t="s">
        <v>106</v>
      </c>
      <c r="D86" s="94" t="s">
        <v>434</v>
      </c>
      <c r="E86" s="87">
        <f>VLOOKUP(D87,lookup!O46:P49,2,FALSE)</f>
        <v>2</v>
      </c>
      <c r="F86" s="88" t="str">
        <f>IF(F83="-","-",IF(D87="none","No","Yes"))</f>
        <v>-</v>
      </c>
      <c r="G86" s="7"/>
      <c r="H86" s="85"/>
    </row>
    <row r="87" spans="2:10" ht="29.1" customHeight="1">
      <c r="C87" s="93"/>
      <c r="D87" s="201" t="s">
        <v>204</v>
      </c>
      <c r="E87" s="149"/>
      <c r="F87" s="105"/>
      <c r="G87" s="4"/>
      <c r="H87" s="85"/>
    </row>
    <row r="88" spans="2:10" ht="13.5">
      <c r="B88" s="85"/>
      <c r="C88" s="85"/>
      <c r="D88" s="95"/>
      <c r="E88" s="95" t="s">
        <v>174</v>
      </c>
      <c r="F88" s="96" t="str">
        <f>IF(F83="Yes",COUNTIF(F85:F87,"Yes") &amp;" of " &amp;COUNTIF(B85:C87,"*"),"-")</f>
        <v>-</v>
      </c>
      <c r="G88" s="97"/>
      <c r="H88" s="85"/>
    </row>
    <row r="89" spans="2:10" ht="6.75" customHeight="1">
      <c r="B89" s="85"/>
      <c r="C89" s="85"/>
      <c r="D89" s="95"/>
      <c r="E89" s="6"/>
      <c r="F89" s="107"/>
      <c r="G89" s="97"/>
      <c r="H89" s="85"/>
    </row>
    <row r="90" spans="2:10" ht="22.35" customHeight="1">
      <c r="B90" s="134"/>
      <c r="C90" s="135" t="s">
        <v>435</v>
      </c>
      <c r="D90" s="135"/>
      <c r="E90" s="136" t="str">
        <f>IF(Tabulations!E39=1, MAX(Tabulations!V39:AA39), 0) &amp;" of"</f>
        <v>0 of</v>
      </c>
      <c r="F90" s="135" t="str">
        <f>Tabulations!S39&amp;" Points"</f>
        <v>24 Points</v>
      </c>
      <c r="G90" s="135"/>
      <c r="H90" s="75"/>
      <c r="J90" s="69"/>
    </row>
    <row r="91" spans="2:10" ht="28.35" customHeight="1">
      <c r="B91" s="137"/>
      <c r="C91" s="261" t="s">
        <v>436</v>
      </c>
      <c r="D91" s="262"/>
      <c r="E91" s="262"/>
      <c r="F91" s="262"/>
      <c r="G91" s="138"/>
      <c r="H91" s="78"/>
      <c r="J91" s="69"/>
    </row>
    <row r="92" spans="2:10" ht="28.35" customHeight="1">
      <c r="B92" s="139"/>
      <c r="C92" s="263" t="s">
        <v>437</v>
      </c>
      <c r="D92" s="264"/>
      <c r="E92" s="264"/>
      <c r="F92" s="264"/>
      <c r="G92" s="140"/>
      <c r="H92" s="78"/>
    </row>
    <row r="93" spans="2:10" ht="60.6" customHeight="1">
      <c r="B93" s="139"/>
      <c r="C93" s="265" t="s">
        <v>438</v>
      </c>
      <c r="D93" s="264"/>
      <c r="E93" s="264"/>
      <c r="F93" s="264"/>
      <c r="G93" s="140"/>
      <c r="H93" s="78"/>
    </row>
    <row r="94" spans="2:10" ht="18" customHeight="1">
      <c r="B94" s="141"/>
      <c r="C94" s="266"/>
      <c r="D94" s="267"/>
      <c r="E94" s="142"/>
      <c r="F94" s="143" t="s">
        <v>103</v>
      </c>
      <c r="G94" s="144"/>
      <c r="H94" s="78"/>
    </row>
    <row r="95" spans="2:10" ht="29.1" customHeight="1">
      <c r="B95" s="85"/>
      <c r="C95" s="86"/>
      <c r="D95" s="86" t="s">
        <v>163</v>
      </c>
      <c r="E95" s="86"/>
      <c r="F95" s="204" t="s">
        <v>164</v>
      </c>
      <c r="G95" s="1"/>
      <c r="H95" s="85"/>
    </row>
    <row r="96" spans="2:10" ht="20.100000000000001" customHeight="1">
      <c r="B96" s="145"/>
      <c r="C96" s="258" t="s">
        <v>165</v>
      </c>
      <c r="D96" s="259"/>
      <c r="E96" s="150"/>
      <c r="F96" s="147" t="s">
        <v>166</v>
      </c>
      <c r="G96" s="148"/>
      <c r="H96" s="78"/>
    </row>
    <row r="97" spans="2:10" ht="29.1" customHeight="1">
      <c r="C97" s="126" t="s">
        <v>105</v>
      </c>
      <c r="D97" s="94" t="s">
        <v>439</v>
      </c>
      <c r="E97" s="87">
        <f>VLOOKUP(D98,lookup!O52:P57,2,FALSE)</f>
        <v>2</v>
      </c>
      <c r="F97" s="88" t="str">
        <f>IF(F95="-","-",IF(D98="none","No","Yes"))</f>
        <v>-</v>
      </c>
      <c r="G97" s="7"/>
      <c r="H97" s="85"/>
    </row>
    <row r="98" spans="2:10" ht="29.1" customHeight="1">
      <c r="C98" s="93"/>
      <c r="D98" s="201" t="s">
        <v>204</v>
      </c>
      <c r="E98" s="149"/>
      <c r="F98" s="105"/>
      <c r="G98" s="4"/>
      <c r="H98" s="85"/>
    </row>
    <row r="99" spans="2:10" ht="13.5">
      <c r="B99" s="85"/>
      <c r="C99" s="85"/>
      <c r="D99" s="95"/>
      <c r="E99" s="95" t="s">
        <v>174</v>
      </c>
      <c r="F99" s="96" t="str">
        <f>IF(F95="Yes",COUNTIF(F97:F98,"Yes") &amp;" of " &amp;COUNTIF(B97:C98,"*"),"-")</f>
        <v>-</v>
      </c>
      <c r="G99" s="97"/>
      <c r="H99" s="85"/>
    </row>
    <row r="100" spans="2:10" ht="6.75" customHeight="1">
      <c r="B100" s="85"/>
      <c r="C100" s="85"/>
      <c r="D100" s="95"/>
      <c r="E100" s="6"/>
      <c r="F100" s="107"/>
      <c r="G100" s="97"/>
      <c r="H100" s="85"/>
    </row>
    <row r="101" spans="2:10" ht="6.75" customHeight="1">
      <c r="B101" s="85"/>
      <c r="C101" s="85"/>
      <c r="D101" s="95"/>
      <c r="E101" s="6"/>
      <c r="F101" s="107"/>
      <c r="G101" s="97"/>
      <c r="H101" s="85"/>
    </row>
    <row r="102" spans="2:10" ht="22.35" customHeight="1">
      <c r="B102" s="134"/>
      <c r="C102" s="135" t="s">
        <v>440</v>
      </c>
      <c r="D102" s="135"/>
      <c r="E102" s="136" t="str">
        <f>IF(Tabulations!E40=1, MAX(Tabulations!V40:AA40), 0) &amp;" of"</f>
        <v>0 of</v>
      </c>
      <c r="F102" s="135" t="str">
        <f>Tabulations!S40&amp;" Points"</f>
        <v>14 Points</v>
      </c>
      <c r="G102" s="135"/>
      <c r="H102" s="75"/>
      <c r="J102" s="69"/>
    </row>
    <row r="103" spans="2:10" ht="29.1" customHeight="1">
      <c r="B103" s="137"/>
      <c r="C103" s="261" t="s">
        <v>441</v>
      </c>
      <c r="D103" s="262"/>
      <c r="E103" s="262"/>
      <c r="F103" s="262"/>
      <c r="G103" s="138"/>
      <c r="H103" s="78"/>
      <c r="J103" s="69"/>
    </row>
    <row r="104" spans="2:10" ht="29.1" customHeight="1">
      <c r="B104" s="139"/>
      <c r="C104" s="263" t="s">
        <v>442</v>
      </c>
      <c r="D104" s="264"/>
      <c r="E104" s="264"/>
      <c r="F104" s="264"/>
      <c r="G104" s="140"/>
      <c r="H104" s="78"/>
    </row>
    <row r="105" spans="2:10" ht="59.85" customHeight="1">
      <c r="B105" s="139"/>
      <c r="C105" s="265" t="s">
        <v>426</v>
      </c>
      <c r="D105" s="264"/>
      <c r="E105" s="264"/>
      <c r="F105" s="264"/>
      <c r="G105" s="140"/>
      <c r="H105" s="78"/>
    </row>
    <row r="106" spans="2:10" ht="18" customHeight="1">
      <c r="B106" s="141"/>
      <c r="C106" s="266"/>
      <c r="D106" s="267"/>
      <c r="E106" s="142"/>
      <c r="F106" s="143" t="s">
        <v>103</v>
      </c>
      <c r="G106" s="144"/>
      <c r="H106" s="78"/>
    </row>
    <row r="107" spans="2:10" ht="29.1" customHeight="1">
      <c r="B107" s="85"/>
      <c r="C107" s="86"/>
      <c r="D107" s="86" t="s">
        <v>163</v>
      </c>
      <c r="E107" s="86"/>
      <c r="F107" s="204" t="s">
        <v>164</v>
      </c>
      <c r="G107" s="1"/>
      <c r="H107" s="85"/>
    </row>
    <row r="108" spans="2:10" ht="20.100000000000001" customHeight="1">
      <c r="B108" s="145"/>
      <c r="C108" s="258" t="s">
        <v>165</v>
      </c>
      <c r="D108" s="259"/>
      <c r="E108" s="150"/>
      <c r="F108" s="147" t="s">
        <v>166</v>
      </c>
      <c r="G108" s="148"/>
      <c r="H108" s="78"/>
    </row>
    <row r="109" spans="2:10" ht="29.1" customHeight="1">
      <c r="C109" s="126" t="s">
        <v>105</v>
      </c>
      <c r="D109" s="94" t="s">
        <v>443</v>
      </c>
      <c r="E109" s="87">
        <f>IF(D110=lookup!O61,lookup!P61,IF(D110=lookup!O62,lookup!P62,IF(D110=lookup!O63,lookup!P63,2)))</f>
        <v>2</v>
      </c>
      <c r="F109" s="88" t="str">
        <f>IF(F107="-","-",IF(D110="none","No","Yes"))</f>
        <v>-</v>
      </c>
      <c r="G109" s="7"/>
      <c r="H109" s="85"/>
    </row>
    <row r="110" spans="2:10" ht="54.95" customHeight="1">
      <c r="C110" s="93"/>
      <c r="D110" s="201"/>
      <c r="E110" s="149"/>
      <c r="F110" s="105"/>
      <c r="G110" s="4"/>
      <c r="H110" s="85"/>
    </row>
    <row r="111" spans="2:10" ht="29.1" customHeight="1">
      <c r="C111" s="126" t="s">
        <v>106</v>
      </c>
      <c r="D111" s="94" t="s">
        <v>444</v>
      </c>
      <c r="E111" s="87">
        <f>IF(D112=lookup!O66,lookup!P66,IF(D112=lookup!O67,lookup!P67,IF(D112=lookup!O68,lookup!P68,IF(D112=lookup!O69,lookup!P69,2))))</f>
        <v>2</v>
      </c>
      <c r="F111" s="88" t="str">
        <f>IF(F107="-","-",IF(D112="none","No","Yes"))</f>
        <v>-</v>
      </c>
      <c r="G111" s="7"/>
      <c r="H111" s="85"/>
    </row>
    <row r="112" spans="2:10" ht="46.35" customHeight="1">
      <c r="C112" s="93"/>
      <c r="D112" s="201"/>
      <c r="E112" s="88"/>
      <c r="F112" s="105"/>
      <c r="G112" s="4"/>
      <c r="H112" s="85"/>
    </row>
    <row r="113" spans="2:10" ht="29.1" customHeight="1">
      <c r="C113" s="93" t="s">
        <v>107</v>
      </c>
      <c r="D113" s="94" t="s">
        <v>445</v>
      </c>
      <c r="E113" s="105"/>
      <c r="F113" s="200" t="s">
        <v>164</v>
      </c>
      <c r="G113" s="4"/>
      <c r="H113" s="85"/>
    </row>
    <row r="114" spans="2:10" ht="13.5">
      <c r="B114" s="85"/>
      <c r="C114" s="85"/>
      <c r="D114" s="95"/>
      <c r="E114" s="95" t="s">
        <v>174</v>
      </c>
      <c r="F114" s="96" t="str">
        <f>IF(F107="Yes",COUNTIF(F109:F113,"Yes") &amp;" of " &amp;COUNTIF(B109:C113,"*"),"-")</f>
        <v>-</v>
      </c>
      <c r="G114" s="97"/>
      <c r="H114" s="85"/>
    </row>
    <row r="115" spans="2:10" ht="6.75" customHeight="1">
      <c r="B115" s="85"/>
      <c r="C115" s="85"/>
      <c r="D115" s="95"/>
      <c r="E115" s="6"/>
      <c r="F115" s="107"/>
      <c r="G115" s="97"/>
      <c r="H115" s="85"/>
    </row>
    <row r="116" spans="2:10" ht="22.35" customHeight="1">
      <c r="B116" s="134"/>
      <c r="C116" s="135" t="s">
        <v>446</v>
      </c>
      <c r="D116" s="135"/>
      <c r="E116" s="136" t="str">
        <f>IF(Tabulations!E41=1, MAX(Tabulations!V41:AA41), 0) &amp;" of"</f>
        <v>0 of</v>
      </c>
      <c r="F116" s="135" t="str">
        <f>Tabulations!S41&amp;" Points"</f>
        <v>12 Points</v>
      </c>
      <c r="G116" s="135"/>
      <c r="H116" s="75"/>
      <c r="J116" s="69"/>
    </row>
    <row r="117" spans="2:10" ht="28.35" customHeight="1">
      <c r="B117" s="137"/>
      <c r="C117" s="261" t="s">
        <v>447</v>
      </c>
      <c r="D117" s="262"/>
      <c r="E117" s="262"/>
      <c r="F117" s="262"/>
      <c r="G117" s="138"/>
      <c r="H117" s="78"/>
      <c r="J117" s="69"/>
    </row>
    <row r="118" spans="2:10" ht="28.35" customHeight="1">
      <c r="B118" s="139"/>
      <c r="C118" s="263" t="s">
        <v>448</v>
      </c>
      <c r="D118" s="264"/>
      <c r="E118" s="264"/>
      <c r="F118" s="264"/>
      <c r="G118" s="140"/>
      <c r="H118" s="78"/>
    </row>
    <row r="119" spans="2:10" ht="57.6" customHeight="1">
      <c r="B119" s="139"/>
      <c r="C119" s="265" t="s">
        <v>449</v>
      </c>
      <c r="D119" s="264"/>
      <c r="E119" s="264"/>
      <c r="F119" s="264"/>
      <c r="G119" s="140"/>
      <c r="H119" s="78"/>
    </row>
    <row r="120" spans="2:10" ht="18" customHeight="1">
      <c r="B120" s="141"/>
      <c r="C120" s="266"/>
      <c r="D120" s="267"/>
      <c r="E120" s="142"/>
      <c r="F120" s="143" t="s">
        <v>103</v>
      </c>
      <c r="G120" s="144"/>
      <c r="H120" s="78"/>
    </row>
    <row r="121" spans="2:10" ht="29.1" customHeight="1">
      <c r="B121" s="85"/>
      <c r="C121" s="86"/>
      <c r="D121" s="86" t="s">
        <v>163</v>
      </c>
      <c r="E121" s="86"/>
      <c r="F121" s="204" t="s">
        <v>164</v>
      </c>
      <c r="G121" s="1"/>
      <c r="H121" s="85"/>
    </row>
    <row r="122" spans="2:10" ht="20.100000000000001" customHeight="1">
      <c r="B122" s="145"/>
      <c r="C122" s="258" t="s">
        <v>165</v>
      </c>
      <c r="D122" s="259"/>
      <c r="E122" s="150"/>
      <c r="F122" s="147" t="s">
        <v>166</v>
      </c>
      <c r="G122" s="148"/>
      <c r="H122" s="78"/>
    </row>
    <row r="123" spans="2:10" ht="29.1" customHeight="1">
      <c r="C123" s="126" t="s">
        <v>105</v>
      </c>
      <c r="D123" s="127" t="s">
        <v>450</v>
      </c>
      <c r="E123" s="128"/>
      <c r="F123" s="203" t="s">
        <v>164</v>
      </c>
      <c r="G123" s="7"/>
      <c r="H123" s="85"/>
      <c r="J123" s="132"/>
    </row>
    <row r="124" spans="2:10" ht="29.1" customHeight="1">
      <c r="C124" s="126" t="s">
        <v>106</v>
      </c>
      <c r="D124" s="127" t="s">
        <v>451</v>
      </c>
      <c r="E124" s="128"/>
      <c r="F124" s="203" t="s">
        <v>164</v>
      </c>
      <c r="G124" s="4"/>
      <c r="H124" s="85"/>
    </row>
    <row r="125" spans="2:10" ht="29.1" customHeight="1">
      <c r="C125" s="126" t="s">
        <v>107</v>
      </c>
      <c r="D125" s="127" t="s">
        <v>452</v>
      </c>
      <c r="E125" s="128"/>
      <c r="F125" s="203" t="s">
        <v>164</v>
      </c>
      <c r="G125" s="4"/>
      <c r="H125" s="85"/>
    </row>
    <row r="126" spans="2:10" ht="29.1" customHeight="1">
      <c r="C126" s="93" t="s">
        <v>108</v>
      </c>
      <c r="D126" s="94" t="s">
        <v>453</v>
      </c>
      <c r="E126" s="87"/>
      <c r="F126" s="200" t="s">
        <v>164</v>
      </c>
      <c r="G126" s="4"/>
      <c r="H126" s="85"/>
    </row>
    <row r="127" spans="2:10" ht="29.1" customHeight="1">
      <c r="C127" s="93" t="s">
        <v>109</v>
      </c>
      <c r="D127" s="94" t="s">
        <v>454</v>
      </c>
      <c r="E127" s="87"/>
      <c r="F127" s="200" t="s">
        <v>164</v>
      </c>
      <c r="G127" s="4"/>
      <c r="H127" s="85"/>
    </row>
    <row r="128" spans="2:10" ht="29.1" customHeight="1">
      <c r="C128" s="93" t="s">
        <v>110</v>
      </c>
      <c r="D128" s="94" t="s">
        <v>455</v>
      </c>
      <c r="E128" s="87"/>
      <c r="F128" s="200" t="s">
        <v>164</v>
      </c>
      <c r="G128" s="4"/>
      <c r="H128" s="85"/>
    </row>
    <row r="129" spans="2:10" ht="13.5">
      <c r="B129" s="85"/>
      <c r="C129" s="85"/>
      <c r="D129" s="95"/>
      <c r="E129" s="95" t="s">
        <v>174</v>
      </c>
      <c r="F129" s="96" t="str">
        <f>IF(F121="Yes",COUNTIF(F123:F128,"Yes") &amp;" of " &amp;COUNTIF(B123:C128,"*"),"-")</f>
        <v>-</v>
      </c>
      <c r="G129" s="97"/>
      <c r="H129" s="85"/>
    </row>
    <row r="130" spans="2:10" ht="6.75" customHeight="1">
      <c r="B130" s="85"/>
      <c r="C130" s="85"/>
      <c r="D130" s="95"/>
      <c r="E130" s="6"/>
      <c r="F130" s="107"/>
      <c r="G130" s="97"/>
      <c r="H130" s="85"/>
    </row>
    <row r="131" spans="2:10" ht="22.35" customHeight="1">
      <c r="B131" s="134"/>
      <c r="C131" s="135" t="s">
        <v>456</v>
      </c>
      <c r="D131" s="135"/>
      <c r="E131" s="136" t="str">
        <f>IF(Tabulations!E42=1, MAX(Tabulations!V42:AA42), 0) &amp;" of"</f>
        <v>0 of</v>
      </c>
      <c r="F131" s="135" t="str">
        <f>Tabulations!S42&amp;" Points"</f>
        <v>22 Points</v>
      </c>
      <c r="G131" s="135"/>
      <c r="H131" s="75"/>
      <c r="J131" s="69"/>
    </row>
    <row r="132" spans="2:10" ht="28.35" customHeight="1">
      <c r="B132" s="137"/>
      <c r="C132" s="261" t="s">
        <v>457</v>
      </c>
      <c r="D132" s="262"/>
      <c r="E132" s="262"/>
      <c r="F132" s="262"/>
      <c r="G132" s="138"/>
      <c r="H132" s="78"/>
      <c r="J132" s="69"/>
    </row>
    <row r="133" spans="2:10" ht="28.35" customHeight="1">
      <c r="B133" s="139"/>
      <c r="C133" s="263" t="s">
        <v>458</v>
      </c>
      <c r="D133" s="264"/>
      <c r="E133" s="264"/>
      <c r="F133" s="264"/>
      <c r="G133" s="140"/>
      <c r="H133" s="78"/>
    </row>
    <row r="134" spans="2:10" ht="59.1" customHeight="1">
      <c r="B134" s="139"/>
      <c r="C134" s="265" t="s">
        <v>459</v>
      </c>
      <c r="D134" s="264"/>
      <c r="E134" s="264"/>
      <c r="F134" s="264"/>
      <c r="G134" s="140"/>
      <c r="H134" s="78"/>
    </row>
    <row r="135" spans="2:10" ht="18" customHeight="1">
      <c r="B135" s="141"/>
      <c r="C135" s="266"/>
      <c r="D135" s="267"/>
      <c r="E135" s="142"/>
      <c r="F135" s="143" t="s">
        <v>103</v>
      </c>
      <c r="G135" s="144"/>
      <c r="H135" s="78"/>
    </row>
    <row r="136" spans="2:10" ht="29.1" customHeight="1">
      <c r="B136" s="85"/>
      <c r="C136" s="86"/>
      <c r="D136" s="86" t="s">
        <v>163</v>
      </c>
      <c r="E136" s="86"/>
      <c r="F136" s="204" t="s">
        <v>164</v>
      </c>
      <c r="G136" s="1"/>
      <c r="H136" s="85"/>
    </row>
    <row r="137" spans="2:10" ht="20.100000000000001" customHeight="1">
      <c r="B137" s="145"/>
      <c r="C137" s="258" t="s">
        <v>165</v>
      </c>
      <c r="D137" s="259"/>
      <c r="E137" s="150"/>
      <c r="F137" s="147" t="s">
        <v>166</v>
      </c>
      <c r="G137" s="148"/>
      <c r="H137" s="78"/>
    </row>
    <row r="138" spans="2:10" ht="28.35" customHeight="1">
      <c r="C138" s="126" t="s">
        <v>105</v>
      </c>
      <c r="D138" s="94" t="s">
        <v>460</v>
      </c>
      <c r="E138" s="105"/>
      <c r="F138" s="200" t="s">
        <v>164</v>
      </c>
      <c r="G138" s="7"/>
      <c r="H138" s="85"/>
    </row>
    <row r="139" spans="2:10" ht="28.35" customHeight="1">
      <c r="C139" s="126" t="s">
        <v>106</v>
      </c>
      <c r="D139" s="94" t="s">
        <v>461</v>
      </c>
      <c r="E139" s="87">
        <f>VLOOKUP(D140,lookup!O72:P77,2,FALSE)</f>
        <v>2</v>
      </c>
      <c r="F139" s="88" t="str">
        <f>IF(F136="-","-",IF(D140="none","No","Yes"))</f>
        <v>-</v>
      </c>
      <c r="G139" s="7"/>
      <c r="H139" s="85"/>
    </row>
    <row r="140" spans="2:10" ht="28.35" customHeight="1">
      <c r="C140" s="93"/>
      <c r="D140" s="201" t="s">
        <v>204</v>
      </c>
      <c r="E140" s="149"/>
      <c r="F140" s="105"/>
      <c r="G140" s="4"/>
      <c r="H140" s="85"/>
    </row>
    <row r="141" spans="2:10" ht="28.35" customHeight="1">
      <c r="C141" s="126" t="s">
        <v>107</v>
      </c>
      <c r="D141" s="94" t="s">
        <v>462</v>
      </c>
      <c r="E141" s="87">
        <f>VLOOKUP(D142,lookup!O79:P83,2,FALSE)</f>
        <v>2</v>
      </c>
      <c r="F141" s="88" t="str">
        <f>IF(F136="-","-",IF(D142="none","No","Yes"))</f>
        <v>-</v>
      </c>
      <c r="G141" s="4"/>
      <c r="H141" s="85"/>
    </row>
    <row r="142" spans="2:10" ht="28.35" customHeight="1">
      <c r="C142" s="93"/>
      <c r="D142" s="201" t="s">
        <v>204</v>
      </c>
      <c r="E142" s="149"/>
      <c r="F142" s="105"/>
      <c r="G142" s="4"/>
      <c r="H142" s="85"/>
    </row>
    <row r="143" spans="2:10" ht="28.35" customHeight="1">
      <c r="C143" s="93" t="s">
        <v>108</v>
      </c>
      <c r="D143" s="94" t="s">
        <v>463</v>
      </c>
      <c r="E143" s="105"/>
      <c r="F143" s="200" t="s">
        <v>164</v>
      </c>
      <c r="G143" s="4"/>
      <c r="H143" s="85"/>
    </row>
    <row r="144" spans="2:10" ht="13.5">
      <c r="B144" s="85"/>
      <c r="C144" s="85"/>
      <c r="D144" s="95"/>
      <c r="E144" s="95" t="s">
        <v>174</v>
      </c>
      <c r="F144" s="96" t="str">
        <f>IF(F136="Yes",COUNTIF(F138:F143,"Yes") &amp;" of " &amp;COUNTIF(B138:C143,"*"),"-")</f>
        <v>-</v>
      </c>
      <c r="G144" s="97"/>
      <c r="H144" s="85"/>
    </row>
    <row r="145" spans="2:10" ht="6.75" customHeight="1">
      <c r="B145" s="85"/>
      <c r="C145" s="85"/>
      <c r="D145" s="95"/>
      <c r="E145" s="6"/>
      <c r="F145" s="107"/>
      <c r="G145" s="97"/>
      <c r="H145" s="85"/>
    </row>
    <row r="146" spans="2:10" ht="22.35" customHeight="1">
      <c r="B146" s="134"/>
      <c r="C146" s="135" t="s">
        <v>464</v>
      </c>
      <c r="D146" s="197"/>
      <c r="E146" s="136" t="str">
        <f>IF(Tabulations!E43=1, MAX(Tabulations!V43:AA43), 0) &amp;" of"</f>
        <v>0 of</v>
      </c>
      <c r="F146" s="135" t="str">
        <f>Tabulations!S43&amp;" Points"</f>
        <v>8 Points</v>
      </c>
      <c r="G146" s="135"/>
      <c r="H146" s="75"/>
      <c r="J146" s="69"/>
    </row>
    <row r="147" spans="2:10" ht="28.35" customHeight="1">
      <c r="B147" s="137"/>
      <c r="C147" s="261" t="s">
        <v>465</v>
      </c>
      <c r="D147" s="262"/>
      <c r="E147" s="262"/>
      <c r="F147" s="262"/>
      <c r="G147" s="138"/>
      <c r="H147" s="78"/>
      <c r="J147" s="69"/>
    </row>
    <row r="148" spans="2:10" ht="28.35" customHeight="1">
      <c r="B148" s="139"/>
      <c r="C148" s="263" t="s">
        <v>466</v>
      </c>
      <c r="D148" s="264"/>
      <c r="E148" s="264"/>
      <c r="F148" s="264"/>
      <c r="G148" s="140"/>
      <c r="H148" s="78"/>
    </row>
    <row r="149" spans="2:10" ht="60.6" customHeight="1">
      <c r="B149" s="139"/>
      <c r="C149" s="265" t="s">
        <v>467</v>
      </c>
      <c r="D149" s="264"/>
      <c r="E149" s="264"/>
      <c r="F149" s="264"/>
      <c r="G149" s="140"/>
      <c r="H149" s="78"/>
    </row>
    <row r="150" spans="2:10" ht="18" customHeight="1">
      <c r="B150" s="141"/>
      <c r="C150" s="266"/>
      <c r="D150" s="267"/>
      <c r="E150" s="142"/>
      <c r="F150" s="143" t="s">
        <v>103</v>
      </c>
      <c r="G150" s="144"/>
      <c r="H150" s="78"/>
    </row>
    <row r="151" spans="2:10" ht="29.1" customHeight="1">
      <c r="B151" s="85"/>
      <c r="C151" s="86"/>
      <c r="D151" s="86" t="s">
        <v>163</v>
      </c>
      <c r="E151" s="86"/>
      <c r="F151" s="204" t="s">
        <v>164</v>
      </c>
      <c r="G151" s="1"/>
      <c r="H151" s="85"/>
    </row>
    <row r="152" spans="2:10" ht="20.100000000000001" customHeight="1">
      <c r="B152" s="145"/>
      <c r="C152" s="258" t="s">
        <v>165</v>
      </c>
      <c r="D152" s="259"/>
      <c r="E152" s="150"/>
      <c r="F152" s="147" t="s">
        <v>166</v>
      </c>
      <c r="G152" s="148"/>
      <c r="H152" s="78"/>
    </row>
    <row r="153" spans="2:10" ht="29.1" customHeight="1">
      <c r="C153" s="126" t="s">
        <v>105</v>
      </c>
      <c r="D153" s="127" t="s">
        <v>468</v>
      </c>
      <c r="E153" s="128"/>
      <c r="F153" s="203" t="s">
        <v>164</v>
      </c>
      <c r="G153" s="7"/>
      <c r="H153" s="85"/>
    </row>
    <row r="154" spans="2:10" ht="29.1" customHeight="1">
      <c r="C154" s="126" t="s">
        <v>106</v>
      </c>
      <c r="D154" s="94" t="s">
        <v>469</v>
      </c>
      <c r="E154" s="87">
        <f>VLOOKUP(D155,lookup!O86:P90,2,FALSE)</f>
        <v>2</v>
      </c>
      <c r="F154" s="88" t="str">
        <f>IF(F151="-","-",IF(D155="none","No","Yes"))</f>
        <v>-</v>
      </c>
      <c r="G154" s="7"/>
      <c r="H154" s="85"/>
    </row>
    <row r="155" spans="2:10" ht="29.1" customHeight="1">
      <c r="C155" s="93"/>
      <c r="D155" s="201" t="s">
        <v>204</v>
      </c>
      <c r="E155" s="88"/>
      <c r="F155" s="105"/>
      <c r="G155" s="4"/>
      <c r="H155" s="85"/>
    </row>
    <row r="156" spans="2:10" ht="13.5">
      <c r="B156" s="85"/>
      <c r="C156" s="85"/>
      <c r="D156" s="95"/>
      <c r="E156" s="95" t="s">
        <v>174</v>
      </c>
      <c r="F156" s="96" t="str">
        <f>IF(F151="Yes",COUNTIF(F153:F155,"Yes") &amp;" of " &amp;COUNTIF(B153:C155,"*"),"-")</f>
        <v>-</v>
      </c>
      <c r="G156" s="97"/>
      <c r="H156" s="85"/>
    </row>
    <row r="157" spans="2:10" ht="6.75" customHeight="1">
      <c r="B157" s="85"/>
      <c r="C157" s="85"/>
      <c r="D157" s="95"/>
      <c r="E157" s="6"/>
      <c r="F157" s="107"/>
      <c r="G157" s="97"/>
      <c r="H157" s="85"/>
    </row>
    <row r="158" spans="2:10" ht="22.35" customHeight="1">
      <c r="B158" s="134"/>
      <c r="C158" s="135" t="s">
        <v>470</v>
      </c>
      <c r="D158" s="135"/>
      <c r="E158" s="136" t="str">
        <f>IF(Tabulations!E44=1, MAX(Tabulations!V44:AA44), 0) &amp;" of"</f>
        <v>0 of</v>
      </c>
      <c r="F158" s="135" t="str">
        <f>Tabulations!S44&amp;" Points"</f>
        <v>12 Points</v>
      </c>
      <c r="G158" s="135"/>
      <c r="H158" s="75"/>
      <c r="J158" s="69"/>
    </row>
    <row r="159" spans="2:10" ht="28.35" customHeight="1">
      <c r="B159" s="137"/>
      <c r="C159" s="261" t="s">
        <v>471</v>
      </c>
      <c r="D159" s="262"/>
      <c r="E159" s="262"/>
      <c r="F159" s="262"/>
      <c r="G159" s="138"/>
      <c r="H159" s="78"/>
      <c r="J159" s="69"/>
    </row>
    <row r="160" spans="2:10" ht="28.35" customHeight="1">
      <c r="B160" s="139"/>
      <c r="C160" s="263" t="s">
        <v>472</v>
      </c>
      <c r="D160" s="264"/>
      <c r="E160" s="264"/>
      <c r="F160" s="264"/>
      <c r="G160" s="140"/>
      <c r="H160" s="78"/>
    </row>
    <row r="161" spans="2:8" ht="79.349999999999994" customHeight="1">
      <c r="B161" s="139"/>
      <c r="C161" s="265" t="s">
        <v>473</v>
      </c>
      <c r="D161" s="264"/>
      <c r="E161" s="264"/>
      <c r="F161" s="264"/>
      <c r="G161" s="140"/>
      <c r="H161" s="78"/>
    </row>
    <row r="162" spans="2:8" ht="18" customHeight="1">
      <c r="B162" s="141"/>
      <c r="C162" s="266"/>
      <c r="D162" s="267"/>
      <c r="E162" s="142"/>
      <c r="F162" s="143" t="s">
        <v>103</v>
      </c>
      <c r="G162" s="144"/>
      <c r="H162" s="78"/>
    </row>
    <row r="163" spans="2:8" ht="29.1" customHeight="1">
      <c r="B163" s="85"/>
      <c r="C163" s="86"/>
      <c r="D163" s="86" t="s">
        <v>163</v>
      </c>
      <c r="E163" s="86"/>
      <c r="F163" s="204" t="s">
        <v>164</v>
      </c>
      <c r="G163" s="1"/>
      <c r="H163" s="85"/>
    </row>
    <row r="164" spans="2:8" ht="20.100000000000001" customHeight="1">
      <c r="B164" s="145"/>
      <c r="C164" s="258" t="s">
        <v>165</v>
      </c>
      <c r="D164" s="259"/>
      <c r="E164" s="150"/>
      <c r="F164" s="147" t="s">
        <v>166</v>
      </c>
      <c r="G164" s="148"/>
      <c r="H164" s="78"/>
    </row>
    <row r="165" spans="2:8" ht="29.1" customHeight="1">
      <c r="C165" s="126" t="s">
        <v>105</v>
      </c>
      <c r="D165" s="127" t="s">
        <v>474</v>
      </c>
      <c r="E165" s="128">
        <f>IF(D166=lookup!O94,lookup!P94,IF(D166=lookup!O95,lookup!P95,IF(D166=lookup!O96,lookup!P96,2)))</f>
        <v>2</v>
      </c>
      <c r="F165" s="129" t="str">
        <f>IF(F163="-","-",IF(D166="none","No","Yes"))</f>
        <v>-</v>
      </c>
      <c r="G165" s="7"/>
      <c r="H165" s="85"/>
    </row>
    <row r="166" spans="2:8" ht="28.35" customHeight="1">
      <c r="C166" s="93"/>
      <c r="D166" s="201" t="s">
        <v>204</v>
      </c>
      <c r="E166" s="88"/>
      <c r="F166" s="105"/>
      <c r="G166" s="4"/>
      <c r="H166" s="85"/>
    </row>
    <row r="167" spans="2:8" ht="29.1" customHeight="1">
      <c r="C167" s="93" t="s">
        <v>106</v>
      </c>
      <c r="D167" s="94" t="s">
        <v>475</v>
      </c>
      <c r="E167" s="87"/>
      <c r="F167" s="200" t="s">
        <v>164</v>
      </c>
      <c r="G167" s="4"/>
      <c r="H167" s="85"/>
    </row>
    <row r="168" spans="2:8" ht="13.5">
      <c r="B168" s="85"/>
      <c r="C168" s="85"/>
      <c r="D168" s="95"/>
      <c r="E168" s="95" t="s">
        <v>174</v>
      </c>
      <c r="F168" s="96" t="str">
        <f>IF(F163="Yes",COUNTIF(F165:F167,"Yes") &amp;" of " &amp;COUNTIF(B165:C167,"*"),"-")</f>
        <v>-</v>
      </c>
      <c r="G168" s="97"/>
      <c r="H168" s="85"/>
    </row>
    <row r="169" spans="2:8" ht="6.75" customHeight="1">
      <c r="B169" s="85"/>
      <c r="C169" s="85"/>
      <c r="D169" s="95"/>
      <c r="E169" s="6"/>
      <c r="F169" s="107"/>
      <c r="G169" s="97"/>
      <c r="H169" s="85"/>
    </row>
  </sheetData>
  <sheetProtection sheet="1" objects="1" scenarios="1"/>
  <mergeCells count="67">
    <mergeCell ref="C162:D162"/>
    <mergeCell ref="C164:D164"/>
    <mergeCell ref="C64:F64"/>
    <mergeCell ref="C149:F149"/>
    <mergeCell ref="C150:D150"/>
    <mergeCell ref="C152:D152"/>
    <mergeCell ref="C159:F159"/>
    <mergeCell ref="C160:F160"/>
    <mergeCell ref="C161:F161"/>
    <mergeCell ref="C133:F133"/>
    <mergeCell ref="C134:F134"/>
    <mergeCell ref="C135:D135"/>
    <mergeCell ref="C137:D137"/>
    <mergeCell ref="C147:F147"/>
    <mergeCell ref="C148:F148"/>
    <mergeCell ref="C117:F117"/>
    <mergeCell ref="C118:F118"/>
    <mergeCell ref="C119:F119"/>
    <mergeCell ref="C120:D120"/>
    <mergeCell ref="C122:D122"/>
    <mergeCell ref="C132:F132"/>
    <mergeCell ref="C108:D108"/>
    <mergeCell ref="C84:D84"/>
    <mergeCell ref="C91:F91"/>
    <mergeCell ref="C92:F92"/>
    <mergeCell ref="C93:F93"/>
    <mergeCell ref="C94:D94"/>
    <mergeCell ref="C96:D96"/>
    <mergeCell ref="C103:F103"/>
    <mergeCell ref="C104:F104"/>
    <mergeCell ref="C105:F105"/>
    <mergeCell ref="C106:D106"/>
    <mergeCell ref="C82:D82"/>
    <mergeCell ref="C56:F56"/>
    <mergeCell ref="C57:D57"/>
    <mergeCell ref="C59:D59"/>
    <mergeCell ref="C67:F67"/>
    <mergeCell ref="C68:F68"/>
    <mergeCell ref="C69:F69"/>
    <mergeCell ref="C70:D70"/>
    <mergeCell ref="C72:D72"/>
    <mergeCell ref="C79:F79"/>
    <mergeCell ref="C80:F80"/>
    <mergeCell ref="C81:F81"/>
    <mergeCell ref="C43:F43"/>
    <mergeCell ref="C44:D44"/>
    <mergeCell ref="C46:D46"/>
    <mergeCell ref="C54:F54"/>
    <mergeCell ref="C55:F55"/>
    <mergeCell ref="C42:F42"/>
    <mergeCell ref="C18:F18"/>
    <mergeCell ref="C19:F19"/>
    <mergeCell ref="C20:F20"/>
    <mergeCell ref="C21:D21"/>
    <mergeCell ref="C23:D23"/>
    <mergeCell ref="C29:F29"/>
    <mergeCell ref="C30:F30"/>
    <mergeCell ref="C31:F31"/>
    <mergeCell ref="C32:D32"/>
    <mergeCell ref="C34:D34"/>
    <mergeCell ref="C41:F41"/>
    <mergeCell ref="C11:D11"/>
    <mergeCell ref="C3:F3"/>
    <mergeCell ref="C6:F6"/>
    <mergeCell ref="C7:F7"/>
    <mergeCell ref="C8:F8"/>
    <mergeCell ref="C9:D9"/>
  </mergeCells>
  <phoneticPr fontId="8" type="noConversion"/>
  <pageMargins left="0.5" right="0.5" top="0.75" bottom="0.75" header="0.3" footer="0"/>
  <pageSetup scale="91" orientation="portrait" r:id="rId1"/>
  <headerFooter differentFirst="1">
    <oddHeader>&amp;C&amp;"Open Sans Regular,Bold"&amp;9Envision Framework_x000D_Pre-Assessment Checklist</oddHeader>
    <firstHeader>&amp;C&amp;"-,Bold"&amp;8Envision Rating System
Pre-Assessment Checklist</firstHeader>
  </headerFooter>
  <rowBreaks count="7" manualBreakCount="7">
    <brk id="26" min="1" max="6" man="1"/>
    <brk id="52" min="1" max="6" man="1"/>
    <brk id="77" min="1" max="6" man="1"/>
    <brk id="101" min="1" max="6" man="1"/>
    <brk id="115" min="1" max="6" man="1"/>
    <brk id="130" min="1" max="6" man="1"/>
    <brk id="157"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Group Box 1">
              <controlPr defaultSize="0" autoFill="0" autoPict="0">
                <anchor moveWithCells="1">
                  <from>
                    <xdr:col>4</xdr:col>
                    <xdr:colOff>0</xdr:colOff>
                    <xdr:row>9</xdr:row>
                    <xdr:rowOff>0</xdr:rowOff>
                  </from>
                  <to>
                    <xdr:col>9</xdr:col>
                    <xdr:colOff>142875</xdr:colOff>
                    <xdr:row>10</xdr:row>
                    <xdr:rowOff>0</xdr:rowOff>
                  </to>
                </anchor>
              </controlPr>
            </control>
          </mc:Choice>
        </mc:AlternateContent>
        <mc:AlternateContent xmlns:mc="http://schemas.openxmlformats.org/markup-compatibility/2006">
          <mc:Choice Requires="x14">
            <control shapeId="16386" r:id="rId5" name="Group Box 2">
              <controlPr defaultSize="0" autoFill="0" autoPict="0">
                <anchor moveWithCells="1">
                  <from>
                    <xdr:col>5</xdr:col>
                    <xdr:colOff>0</xdr:colOff>
                    <xdr:row>9</xdr:row>
                    <xdr:rowOff>0</xdr:rowOff>
                  </from>
                  <to>
                    <xdr:col>10</xdr:col>
                    <xdr:colOff>219075</xdr:colOff>
                    <xdr:row>10</xdr:row>
                    <xdr:rowOff>0</xdr:rowOff>
                  </to>
                </anchor>
              </controlPr>
            </control>
          </mc:Choice>
        </mc:AlternateContent>
        <mc:AlternateContent xmlns:mc="http://schemas.openxmlformats.org/markup-compatibility/2006">
          <mc:Choice Requires="x14">
            <control shapeId="16387" r:id="rId6" name="Group Box 3">
              <controlPr defaultSize="0" autoFill="0" autoPict="0">
                <anchor moveWithCells="1">
                  <from>
                    <xdr:col>5</xdr:col>
                    <xdr:colOff>0</xdr:colOff>
                    <xdr:row>9</xdr:row>
                    <xdr:rowOff>0</xdr:rowOff>
                  </from>
                  <to>
                    <xdr:col>10</xdr:col>
                    <xdr:colOff>219075</xdr:colOff>
                    <xdr:row>10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F9C825A8-51E9-450A-A8E6-CDFA9F1453A0}">
            <xm:f>Tabulations!$E$32=2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B11:G11</xm:sqref>
        </x14:conditionalFormatting>
        <x14:conditionalFormatting xmlns:xm="http://schemas.microsoft.com/office/excel/2006/main">
          <x14:cfRule type="expression" priority="22" id="{A0BBDC8F-2FBF-489F-891C-AD3B2B701656}">
            <xm:f>Tabulations!$E$32=2</xm:f>
            <x14:dxf>
              <font>
                <color theme="0" tint="-0.249977111117893"/>
              </font>
              <fill>
                <patternFill patternType="solid">
                  <fgColor indexed="64"/>
                  <bgColor theme="0" tint="-0.14999847407452621"/>
                </patternFill>
              </fill>
            </x14:dxf>
          </x14:cfRule>
          <xm:sqref>B12:G14</xm:sqref>
        </x14:conditionalFormatting>
        <x14:conditionalFormatting xmlns:xm="http://schemas.microsoft.com/office/excel/2006/main">
          <x14:cfRule type="expression" priority="45" id="{3A923B3E-014C-406D-B6F1-E00DBDCA4879}">
            <xm:f>Tabulations!$E$33=2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B23:G23</xm:sqref>
        </x14:conditionalFormatting>
        <x14:conditionalFormatting xmlns:xm="http://schemas.microsoft.com/office/excel/2006/main">
          <x14:cfRule type="expression" priority="19" id="{1FD0B482-329A-4061-AC7F-C1821B6EE2D2}">
            <xm:f>Tabulations!$E$33=2</xm:f>
            <x14:dxf>
              <font>
                <color theme="0" tint="-0.249977111117893"/>
              </font>
              <fill>
                <patternFill patternType="solid">
                  <fgColor indexed="64"/>
                  <bgColor theme="0" tint="-0.14999847407452621"/>
                </patternFill>
              </fill>
            </x14:dxf>
          </x14:cfRule>
          <xm:sqref>B24:G25</xm:sqref>
        </x14:conditionalFormatting>
        <x14:conditionalFormatting xmlns:xm="http://schemas.microsoft.com/office/excel/2006/main">
          <x14:cfRule type="expression" priority="42" id="{3FDB5D87-DFDB-4875-B135-D272C62CBD0F}">
            <xm:f>Tabulations!$E$34=2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B34:G34</xm:sqref>
        </x14:conditionalFormatting>
        <x14:conditionalFormatting xmlns:xm="http://schemas.microsoft.com/office/excel/2006/main">
          <x14:cfRule type="expression" priority="43" id="{7FCAF873-6A3C-4AF4-8104-B0CF56B10DB7}">
            <xm:f>Tabulations!$E$34=2</xm:f>
            <x14:dxf>
              <font>
                <color theme="0" tint="-0.249977111117893"/>
              </font>
              <fill>
                <patternFill patternType="solid">
                  <fgColor indexed="64"/>
                  <bgColor theme="0" tint="-0.14999847407452621"/>
                </patternFill>
              </fill>
            </x14:dxf>
          </x14:cfRule>
          <xm:sqref>B35:G37</xm:sqref>
        </x14:conditionalFormatting>
        <x14:conditionalFormatting xmlns:xm="http://schemas.microsoft.com/office/excel/2006/main">
          <x14:cfRule type="expression" priority="41" id="{AAB9C3EB-AFAD-401B-8BB1-B1D9DD8D486F}">
            <xm:f>Tabulations!$E$35=2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B46:G46</xm:sqref>
        </x14:conditionalFormatting>
        <x14:conditionalFormatting xmlns:xm="http://schemas.microsoft.com/office/excel/2006/main">
          <x14:cfRule type="expression" priority="14" id="{17C34568-270B-4D43-8C51-6A22FC0C3865}">
            <xm:f>Tabulations!$E$35=2</xm:f>
            <x14:dxf>
              <font>
                <color theme="0" tint="-0.249977111117893"/>
              </font>
              <fill>
                <patternFill patternType="solid">
                  <fgColor indexed="64"/>
                  <bgColor theme="0" tint="-0.14999847407452621"/>
                </patternFill>
              </fill>
            </x14:dxf>
          </x14:cfRule>
          <xm:sqref>B47:G49</xm:sqref>
        </x14:conditionalFormatting>
        <x14:conditionalFormatting xmlns:xm="http://schemas.microsoft.com/office/excel/2006/main">
          <x14:cfRule type="expression" priority="39" id="{E9CBF876-6492-4142-A483-E69D1B6E7508}">
            <xm:f>Tabulations!$E$36=2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B59:G59</xm:sqref>
        </x14:conditionalFormatting>
        <x14:conditionalFormatting xmlns:xm="http://schemas.microsoft.com/office/excel/2006/main">
          <x14:cfRule type="expression" priority="13" id="{8E06E41C-7C57-4E38-8347-3C28B942E9D2}">
            <xm:f>Tabulations!$E$36=2</xm:f>
            <x14:dxf>
              <font>
                <color theme="0" tint="-0.249977111117893"/>
              </font>
              <fill>
                <patternFill patternType="solid">
                  <fgColor indexed="64"/>
                  <bgColor theme="0" tint="-0.14999847407452621"/>
                </patternFill>
              </fill>
            </x14:dxf>
          </x14:cfRule>
          <xm:sqref>B60:G61</xm:sqref>
        </x14:conditionalFormatting>
        <x14:conditionalFormatting xmlns:xm="http://schemas.microsoft.com/office/excel/2006/main">
          <x14:cfRule type="expression" priority="37" id="{CD5913D0-5B46-4AA8-83A3-88B2299B7F75}">
            <xm:f>Tabulations!$E$37=2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B72:G72</xm:sqref>
        </x14:conditionalFormatting>
        <x14:conditionalFormatting xmlns:xm="http://schemas.microsoft.com/office/excel/2006/main">
          <x14:cfRule type="expression" priority="12" id="{4FA23284-3FB3-4D06-A243-8EE505D61F8F}">
            <xm:f>Tabulations!$E$37=2</xm:f>
            <x14:dxf>
              <font>
                <color theme="0" tint="-0.249977111117893"/>
              </font>
              <fill>
                <patternFill patternType="solid">
                  <fgColor indexed="64"/>
                  <bgColor theme="0" tint="-0.14999847407452621"/>
                </patternFill>
              </fill>
            </x14:dxf>
          </x14:cfRule>
          <xm:sqref>B73:G75</xm:sqref>
        </x14:conditionalFormatting>
        <x14:conditionalFormatting xmlns:xm="http://schemas.microsoft.com/office/excel/2006/main">
          <x14:cfRule type="expression" priority="36" id="{FF37262A-6316-4A0C-97D8-646A5A6D630D}">
            <xm:f>Tabulations!$E$38=2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B84:G84</xm:sqref>
        </x14:conditionalFormatting>
        <x14:conditionalFormatting xmlns:xm="http://schemas.microsoft.com/office/excel/2006/main">
          <x14:cfRule type="expression" priority="11" id="{DD853413-64C5-49AA-AAFC-3724DCCE9048}">
            <xm:f>Tabulations!$E$38=2</xm:f>
            <x14:dxf>
              <font>
                <color theme="0" tint="-0.249977111117893"/>
              </font>
              <fill>
                <patternFill patternType="solid">
                  <fgColor indexed="64"/>
                  <bgColor theme="0" tint="-0.14999847407452621"/>
                </patternFill>
              </fill>
            </x14:dxf>
          </x14:cfRule>
          <xm:sqref>B85:G87</xm:sqref>
        </x14:conditionalFormatting>
        <x14:conditionalFormatting xmlns:xm="http://schemas.microsoft.com/office/excel/2006/main">
          <x14:cfRule type="expression" priority="34" id="{6DCC198F-5C43-40AE-821B-2CC7E64BFB71}">
            <xm:f>Tabulations!$E$39=2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B96:G96</xm:sqref>
        </x14:conditionalFormatting>
        <x14:conditionalFormatting xmlns:xm="http://schemas.microsoft.com/office/excel/2006/main">
          <x14:cfRule type="expression" priority="33" id="{6FEDE005-DA5A-4309-9510-D0467C933DC2}">
            <xm:f>Tabulations!$E$39=2</xm:f>
            <x14:dxf>
              <font>
                <color theme="0" tint="-0.249977111117893"/>
              </font>
              <fill>
                <patternFill patternType="solid">
                  <fgColor indexed="64"/>
                  <bgColor theme="0" tint="-0.14999847407452621"/>
                </patternFill>
              </fill>
            </x14:dxf>
          </x14:cfRule>
          <xm:sqref>B97:G98</xm:sqref>
        </x14:conditionalFormatting>
        <x14:conditionalFormatting xmlns:xm="http://schemas.microsoft.com/office/excel/2006/main">
          <x14:cfRule type="expression" priority="32" id="{93874B58-68DE-4A6D-8DBA-C1D697E6CFEF}">
            <xm:f>Tabulations!$E$40=2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B108:G108</xm:sqref>
        </x14:conditionalFormatting>
        <x14:conditionalFormatting xmlns:xm="http://schemas.microsoft.com/office/excel/2006/main">
          <x14:cfRule type="expression" priority="1" id="{2270DF68-6C20-4015-A6FE-E1B43F4B9504}">
            <xm:f>Tabulations!$E$40=2</xm:f>
            <x14:dxf>
              <font>
                <color theme="0" tint="-0.249977111117893"/>
              </font>
              <fill>
                <patternFill patternType="solid">
                  <fgColor indexed="64"/>
                  <bgColor theme="0" tint="-0.14999847407452621"/>
                </patternFill>
              </fill>
            </x14:dxf>
          </x14:cfRule>
          <xm:sqref>B109:G113</xm:sqref>
        </x14:conditionalFormatting>
        <x14:conditionalFormatting xmlns:xm="http://schemas.microsoft.com/office/excel/2006/main">
          <x14:cfRule type="expression" priority="30" id="{EECD6F13-AC2E-4291-9CEE-2DE1DAA4ACB0}">
            <xm:f>Tabulations!$E$41=2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B122:G122</xm:sqref>
        </x14:conditionalFormatting>
        <x14:conditionalFormatting xmlns:xm="http://schemas.microsoft.com/office/excel/2006/main">
          <x14:cfRule type="expression" priority="29" id="{9EA6F804-A11E-468A-B126-75891771B4A7}">
            <xm:f>Tabulations!$E$41=2</xm:f>
            <x14:dxf>
              <font>
                <color theme="0" tint="-0.249977111117893"/>
              </font>
              <fill>
                <patternFill patternType="solid">
                  <fgColor indexed="64"/>
                  <bgColor theme="0" tint="-0.14999847407452621"/>
                </patternFill>
              </fill>
            </x14:dxf>
          </x14:cfRule>
          <xm:sqref>B123:G128</xm:sqref>
        </x14:conditionalFormatting>
        <x14:conditionalFormatting xmlns:xm="http://schemas.microsoft.com/office/excel/2006/main">
          <x14:cfRule type="expression" priority="28" id="{F1C13644-5CB3-4D59-A773-02C67F6CA985}">
            <xm:f>Tabulations!$E$42=2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B137:G137</xm:sqref>
        </x14:conditionalFormatting>
        <x14:conditionalFormatting xmlns:xm="http://schemas.microsoft.com/office/excel/2006/main">
          <x14:cfRule type="expression" priority="5" id="{D41D9A2A-8A93-4A42-9F1D-2D176B816A7A}">
            <xm:f>Tabulations!$E$42=2</xm:f>
            <x14:dxf>
              <font>
                <color theme="0" tint="-0.249977111117893"/>
              </font>
              <fill>
                <patternFill patternType="solid">
                  <fgColor indexed="64"/>
                  <bgColor theme="0" tint="-0.14999847407452621"/>
                </patternFill>
              </fill>
            </x14:dxf>
          </x14:cfRule>
          <xm:sqref>B138:G143</xm:sqref>
        </x14:conditionalFormatting>
        <x14:conditionalFormatting xmlns:xm="http://schemas.microsoft.com/office/excel/2006/main">
          <x14:cfRule type="expression" priority="26" id="{4E193B22-3D77-450E-911D-41D7E7160084}">
            <xm:f>Tabulations!$E$43=2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B152:G152</xm:sqref>
        </x14:conditionalFormatting>
        <x14:conditionalFormatting xmlns:xm="http://schemas.microsoft.com/office/excel/2006/main">
          <x14:cfRule type="expression" priority="4" id="{9BFB7EF1-457D-489F-8411-7E02ACAFCFE5}">
            <xm:f>Tabulations!$E$43=2</xm:f>
            <x14:dxf>
              <font>
                <color theme="0" tint="-0.249977111117893"/>
              </font>
              <fill>
                <patternFill patternType="solid">
                  <fgColor indexed="64"/>
                  <bgColor theme="0" tint="-0.14999847407452621"/>
                </patternFill>
              </fill>
            </x14:dxf>
          </x14:cfRule>
          <xm:sqref>B153:G155</xm:sqref>
        </x14:conditionalFormatting>
        <x14:conditionalFormatting xmlns:xm="http://schemas.microsoft.com/office/excel/2006/main">
          <x14:cfRule type="expression" priority="24" id="{CFD5EEF8-1570-4424-805F-2FFBA06CF94C}">
            <xm:f>Tabulations!$E$44=2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B164:G164</xm:sqref>
        </x14:conditionalFormatting>
        <x14:conditionalFormatting xmlns:xm="http://schemas.microsoft.com/office/excel/2006/main">
          <x14:cfRule type="expression" priority="23" id="{3D3CBFB9-4F39-449D-9F01-5123DC39A3E0}">
            <xm:f>Tabulations!$E$44=2</xm:f>
            <x14:dxf>
              <font>
                <color theme="0" tint="-0.249977111117893"/>
              </font>
              <fill>
                <patternFill patternType="solid">
                  <fgColor indexed="64"/>
                  <bgColor theme="0" tint="-0.14999847407452621"/>
                </patternFill>
              </fill>
            </x14:dxf>
          </x14:cfRule>
          <xm:sqref>B165:G167</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500-000000000000}">
          <x14:formula1>
            <xm:f>lookup!$B$3:$B$5</xm:f>
          </x14:formula1>
          <xm:sqref>F10 F22 F12 F33 F113 F45 F153 F58 F47 F71 F83 F35 F95 F73 F107 F85 F121 F163 F136 F123:F128 F151 F138 F143 F167</xm:sqref>
        </x14:dataValidation>
        <x14:dataValidation type="list" allowBlank="1" showInputMessage="1" showErrorMessage="1" xr:uid="{00000000-0002-0000-0500-000001000000}">
          <x14:formula1>
            <xm:f>lookup!$O$4:$O$8</xm:f>
          </x14:formula1>
          <xm:sqref>D14</xm:sqref>
        </x14:dataValidation>
        <x14:dataValidation type="list" allowBlank="1" showInputMessage="1" showErrorMessage="1" xr:uid="{00000000-0002-0000-0500-000002000000}">
          <x14:formula1>
            <xm:f>lookup!$O$11:$O$15</xm:f>
          </x14:formula1>
          <xm:sqref>D25</xm:sqref>
        </x14:dataValidation>
        <x14:dataValidation type="list" allowBlank="1" showInputMessage="1" showErrorMessage="1" xr:uid="{00000000-0002-0000-0500-000003000000}">
          <x14:formula1>
            <xm:f>lookup!$O$18:$O$22</xm:f>
          </x14:formula1>
          <xm:sqref>D37</xm:sqref>
        </x14:dataValidation>
        <x14:dataValidation type="list" allowBlank="1" showInputMessage="1" showErrorMessage="1" xr:uid="{00000000-0002-0000-0500-000004000000}">
          <x14:formula1>
            <xm:f>lookup!$O$25:$O$29</xm:f>
          </x14:formula1>
          <xm:sqref>D49</xm:sqref>
        </x14:dataValidation>
        <x14:dataValidation type="list" allowBlank="1" showInputMessage="1" showErrorMessage="1" xr:uid="{00000000-0002-0000-0500-000005000000}">
          <x14:formula1>
            <xm:f>lookup!$O$32:$O$36</xm:f>
          </x14:formula1>
          <xm:sqref>D61</xm:sqref>
        </x14:dataValidation>
        <x14:dataValidation type="list" allowBlank="1" showInputMessage="1" showErrorMessage="1" xr:uid="{00000000-0002-0000-0500-000006000000}">
          <x14:formula1>
            <xm:f>lookup!$O$39:$O$43</xm:f>
          </x14:formula1>
          <xm:sqref>D75</xm:sqref>
        </x14:dataValidation>
        <x14:dataValidation type="list" allowBlank="1" showInputMessage="1" showErrorMessage="1" xr:uid="{00000000-0002-0000-0500-000007000000}">
          <x14:formula1>
            <xm:f>lookup!$O$46:$O$49</xm:f>
          </x14:formula1>
          <xm:sqref>D87</xm:sqref>
        </x14:dataValidation>
        <x14:dataValidation type="list" allowBlank="1" showInputMessage="1" showErrorMessage="1" xr:uid="{00000000-0002-0000-0500-000008000000}">
          <x14:formula1>
            <xm:f>lookup!$O$52:$O$57</xm:f>
          </x14:formula1>
          <xm:sqref>D98</xm:sqref>
        </x14:dataValidation>
        <x14:dataValidation type="list" allowBlank="1" showInputMessage="1" showErrorMessage="1" xr:uid="{00000000-0002-0000-0500-000009000000}">
          <x14:formula1>
            <xm:f>lookup!$O$65:$O$69</xm:f>
          </x14:formula1>
          <xm:sqref>D112</xm:sqref>
        </x14:dataValidation>
        <x14:dataValidation type="list" allowBlank="1" showInputMessage="1" showErrorMessage="1" xr:uid="{00000000-0002-0000-0500-00000A000000}">
          <x14:formula1>
            <xm:f>lookup!$O$60:$O$63</xm:f>
          </x14:formula1>
          <xm:sqref>D110</xm:sqref>
        </x14:dataValidation>
        <x14:dataValidation type="list" allowBlank="1" showInputMessage="1" showErrorMessage="1" xr:uid="{00000000-0002-0000-0500-00000B000000}">
          <x14:formula1>
            <xm:f>lookup!$O$72:$O$77</xm:f>
          </x14:formula1>
          <xm:sqref>D140</xm:sqref>
        </x14:dataValidation>
        <x14:dataValidation type="list" allowBlank="1" showInputMessage="1" showErrorMessage="1" xr:uid="{00000000-0002-0000-0500-00000C000000}">
          <x14:formula1>
            <xm:f>lookup!$O$79:$O$83</xm:f>
          </x14:formula1>
          <xm:sqref>D142</xm:sqref>
        </x14:dataValidation>
        <x14:dataValidation type="list" allowBlank="1" showInputMessage="1" showErrorMessage="1" xr:uid="{00000000-0002-0000-0500-00000D000000}">
          <x14:formula1>
            <xm:f>lookup!$O$86:$O$90</xm:f>
          </x14:formula1>
          <xm:sqref>D155</xm:sqref>
        </x14:dataValidation>
        <x14:dataValidation type="list" allowBlank="1" showInputMessage="1" showErrorMessage="1" xr:uid="{00000000-0002-0000-0500-00000E000000}">
          <x14:formula1>
            <xm:f>lookup!$O$93:$O$96</xm:f>
          </x14:formula1>
          <xm:sqref>D166</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B9C2D"/>
  </sheetPr>
  <dimension ref="B1:J202"/>
  <sheetViews>
    <sheetView showGridLines="0" view="pageBreakPreview" zoomScaleNormal="85" zoomScaleSheetLayoutView="100" workbookViewId="0">
      <selection activeCell="F10" sqref="F10"/>
    </sheetView>
  </sheetViews>
  <sheetFormatPr defaultColWidth="4.125" defaultRowHeight="15.75"/>
  <cols>
    <col min="1" max="2" width="1.125" style="57" customWidth="1"/>
    <col min="3" max="3" width="3.125" style="57" customWidth="1"/>
    <col min="4" max="4" width="61" style="57" customWidth="1"/>
    <col min="5" max="5" width="8.625" style="59" customWidth="1"/>
    <col min="6" max="6" width="12.125" style="60" customWidth="1"/>
    <col min="7" max="7" width="2.625" style="61" customWidth="1"/>
    <col min="8" max="9" width="4.125" style="57"/>
    <col min="10" max="10" width="7.625" style="57" bestFit="1" customWidth="1"/>
    <col min="11" max="16384" width="4.125" style="57"/>
  </cols>
  <sheetData>
    <row r="1" spans="2:10" ht="42" customHeight="1">
      <c r="D1" s="155" t="s">
        <v>476</v>
      </c>
    </row>
    <row r="2" spans="2:10" s="66" customFormat="1" ht="13.35" customHeight="1">
      <c r="B2" s="62"/>
      <c r="C2" s="62"/>
      <c r="D2" s="62"/>
      <c r="E2" s="62"/>
      <c r="F2" s="63"/>
      <c r="G2" s="64"/>
      <c r="H2" s="65"/>
    </row>
    <row r="3" spans="2:10" s="69" customFormat="1" ht="18" customHeight="1">
      <c r="B3" s="67"/>
      <c r="C3" s="272" t="s">
        <v>477</v>
      </c>
      <c r="D3" s="272"/>
      <c r="E3" s="272"/>
      <c r="F3" s="272"/>
      <c r="G3" s="64"/>
      <c r="H3" s="68"/>
    </row>
    <row r="4" spans="2:10" s="69" customFormat="1" ht="7.35" customHeight="1">
      <c r="B4" s="67"/>
      <c r="C4" s="70"/>
      <c r="D4" s="70"/>
      <c r="E4" s="70"/>
      <c r="F4" s="71"/>
      <c r="G4" s="64"/>
      <c r="H4" s="68"/>
    </row>
    <row r="5" spans="2:10" ht="22.35" customHeight="1">
      <c r="B5" s="156"/>
      <c r="C5" s="157" t="s">
        <v>478</v>
      </c>
      <c r="D5" s="157"/>
      <c r="E5" s="158" t="str">
        <f>IF(Tabulations!E47=1, MAX(Tabulations!V47:AA47), 0) &amp;" of"</f>
        <v>0 of</v>
      </c>
      <c r="F5" s="157" t="str">
        <f>Tabulations!S47&amp;" Points"</f>
        <v>22 Points</v>
      </c>
      <c r="G5" s="159"/>
      <c r="H5" s="75"/>
      <c r="J5" s="69"/>
    </row>
    <row r="6" spans="2:10" ht="29.1" customHeight="1">
      <c r="B6" s="160"/>
      <c r="C6" s="270" t="s">
        <v>479</v>
      </c>
      <c r="D6" s="271"/>
      <c r="E6" s="271"/>
      <c r="F6" s="271"/>
      <c r="G6" s="161"/>
      <c r="H6" s="78"/>
      <c r="J6" s="69"/>
    </row>
    <row r="7" spans="2:10" ht="29.1" customHeight="1">
      <c r="B7" s="162"/>
      <c r="C7" s="273" t="s">
        <v>480</v>
      </c>
      <c r="D7" s="274"/>
      <c r="E7" s="274"/>
      <c r="F7" s="274"/>
      <c r="G7" s="163"/>
      <c r="H7" s="78"/>
    </row>
    <row r="8" spans="2:10" ht="29.1" customHeight="1">
      <c r="B8" s="162"/>
      <c r="C8" s="275" t="s">
        <v>481</v>
      </c>
      <c r="D8" s="274"/>
      <c r="E8" s="274"/>
      <c r="F8" s="274"/>
      <c r="G8" s="163"/>
      <c r="H8" s="78"/>
    </row>
    <row r="9" spans="2:10" ht="18" customHeight="1">
      <c r="B9" s="164"/>
      <c r="C9" s="276"/>
      <c r="D9" s="277"/>
      <c r="E9" s="165"/>
      <c r="F9" s="166" t="s">
        <v>103</v>
      </c>
      <c r="G9" s="167"/>
      <c r="H9" s="78"/>
    </row>
    <row r="10" spans="2:10" ht="28.5" customHeight="1">
      <c r="B10" s="85"/>
      <c r="C10" s="86"/>
      <c r="D10" s="86" t="s">
        <v>163</v>
      </c>
      <c r="E10" s="121"/>
      <c r="F10" s="202" t="s">
        <v>164</v>
      </c>
      <c r="G10" s="1"/>
      <c r="H10" s="85"/>
    </row>
    <row r="11" spans="2:10" ht="20.100000000000001" customHeight="1">
      <c r="B11" s="168"/>
      <c r="C11" s="278" t="s">
        <v>165</v>
      </c>
      <c r="D11" s="279"/>
      <c r="E11" s="169"/>
      <c r="F11" s="170" t="s">
        <v>166</v>
      </c>
      <c r="G11" s="171"/>
      <c r="H11" s="78"/>
    </row>
    <row r="12" spans="2:10" ht="28.35" customHeight="1">
      <c r="C12" s="126" t="s">
        <v>105</v>
      </c>
      <c r="D12" s="127" t="s">
        <v>482</v>
      </c>
      <c r="E12" s="128"/>
      <c r="F12" s="203" t="s">
        <v>164</v>
      </c>
      <c r="G12" s="7"/>
      <c r="H12" s="85"/>
    </row>
    <row r="13" spans="2:10" ht="28.35" customHeight="1">
      <c r="C13" s="93" t="s">
        <v>106</v>
      </c>
      <c r="D13" s="94" t="s">
        <v>483</v>
      </c>
      <c r="E13" s="87">
        <f>IF(D14=lookup!S5,lookup!T5,IF(D14=lookup!S6,lookup!T6,2))</f>
        <v>2</v>
      </c>
      <c r="F13" s="88" t="str">
        <f>IF(F10="-","-",IF(D14="none","No","Yes"))</f>
        <v>-</v>
      </c>
      <c r="G13" s="4"/>
      <c r="H13" s="85"/>
    </row>
    <row r="14" spans="2:10" ht="28.35" customHeight="1">
      <c r="C14" s="93"/>
      <c r="D14" s="201" t="s">
        <v>204</v>
      </c>
      <c r="E14" s="149"/>
      <c r="F14" s="105"/>
      <c r="G14" s="4"/>
      <c r="H14" s="85"/>
    </row>
    <row r="15" spans="2:10" ht="29.1" customHeight="1">
      <c r="C15" s="93" t="s">
        <v>107</v>
      </c>
      <c r="D15" s="94" t="s">
        <v>484</v>
      </c>
      <c r="E15" s="87"/>
      <c r="F15" s="203" t="s">
        <v>164</v>
      </c>
      <c r="G15" s="4"/>
      <c r="H15" s="85"/>
    </row>
    <row r="16" spans="2:10" ht="29.1" customHeight="1">
      <c r="C16" s="93" t="s">
        <v>108</v>
      </c>
      <c r="D16" s="94" t="s">
        <v>485</v>
      </c>
      <c r="E16" s="87"/>
      <c r="F16" s="203" t="s">
        <v>164</v>
      </c>
      <c r="G16" s="4"/>
      <c r="H16" s="85"/>
    </row>
    <row r="17" spans="2:10" ht="29.1" customHeight="1">
      <c r="C17" s="93" t="s">
        <v>109</v>
      </c>
      <c r="D17" s="94" t="s">
        <v>486</v>
      </c>
      <c r="E17" s="87"/>
      <c r="F17" s="203" t="s">
        <v>164</v>
      </c>
      <c r="G17" s="4"/>
      <c r="H17" s="85"/>
    </row>
    <row r="18" spans="2:10" ht="29.1" customHeight="1">
      <c r="C18" s="93" t="s">
        <v>110</v>
      </c>
      <c r="D18" s="94" t="s">
        <v>487</v>
      </c>
      <c r="E18" s="87"/>
      <c r="F18" s="203" t="s">
        <v>164</v>
      </c>
      <c r="G18" s="4"/>
      <c r="H18" s="85"/>
    </row>
    <row r="19" spans="2:10" ht="18" customHeight="1">
      <c r="B19" s="85"/>
      <c r="C19" s="85"/>
      <c r="D19" s="95"/>
      <c r="E19" s="95" t="s">
        <v>174</v>
      </c>
      <c r="F19" s="96" t="str">
        <f>IF(F10="Yes",COUNTIF(F12:F18,"Yes") &amp;" of " &amp;COUNTIF(B12:C18,"*"),"-")</f>
        <v>-</v>
      </c>
      <c r="G19" s="97"/>
      <c r="H19" s="85"/>
    </row>
    <row r="20" spans="2:10" ht="7.35" customHeight="1">
      <c r="B20" s="85"/>
      <c r="C20" s="85"/>
      <c r="D20" s="98"/>
      <c r="E20" s="99"/>
      <c r="F20" s="100"/>
      <c r="G20" s="101"/>
      <c r="H20" s="85"/>
    </row>
    <row r="21" spans="2:10" ht="22.35" customHeight="1">
      <c r="B21" s="156"/>
      <c r="C21" s="157" t="s">
        <v>488</v>
      </c>
      <c r="D21" s="157"/>
      <c r="E21" s="158" t="str">
        <f>IF(Tabulations!E48=1, MAX(Tabulations!V48:AA48), 0) &amp;" of"</f>
        <v>0 of</v>
      </c>
      <c r="F21" s="157" t="str">
        <f>Tabulations!S48&amp;" Points"</f>
        <v>20 Points</v>
      </c>
      <c r="G21" s="159"/>
      <c r="H21" s="75"/>
      <c r="J21" s="69"/>
    </row>
    <row r="22" spans="2:10" ht="29.1" customHeight="1">
      <c r="B22" s="160"/>
      <c r="C22" s="270" t="s">
        <v>489</v>
      </c>
      <c r="D22" s="271"/>
      <c r="E22" s="271"/>
      <c r="F22" s="271"/>
      <c r="G22" s="161"/>
      <c r="H22" s="78"/>
      <c r="J22" s="69"/>
    </row>
    <row r="23" spans="2:10" ht="24" customHeight="1">
      <c r="B23" s="162"/>
      <c r="C23" s="273" t="s">
        <v>490</v>
      </c>
      <c r="D23" s="274"/>
      <c r="E23" s="274"/>
      <c r="F23" s="274"/>
      <c r="G23" s="163"/>
      <c r="H23" s="78"/>
    </row>
    <row r="24" spans="2:10" ht="29.1" customHeight="1">
      <c r="B24" s="162"/>
      <c r="C24" s="275" t="s">
        <v>491</v>
      </c>
      <c r="D24" s="274"/>
      <c r="E24" s="274"/>
      <c r="F24" s="274"/>
      <c r="G24" s="163"/>
      <c r="H24" s="78"/>
    </row>
    <row r="25" spans="2:10" ht="18" customHeight="1">
      <c r="B25" s="164"/>
      <c r="C25" s="276"/>
      <c r="D25" s="277"/>
      <c r="E25" s="165"/>
      <c r="F25" s="166" t="s">
        <v>103</v>
      </c>
      <c r="G25" s="167"/>
      <c r="H25" s="78"/>
    </row>
    <row r="26" spans="2:10" ht="24" customHeight="1">
      <c r="B26" s="85"/>
      <c r="C26" s="86"/>
      <c r="D26" s="86" t="s">
        <v>163</v>
      </c>
      <c r="E26" s="103"/>
      <c r="F26" s="204" t="s">
        <v>164</v>
      </c>
      <c r="G26" s="1"/>
      <c r="H26" s="85"/>
    </row>
    <row r="27" spans="2:10" ht="20.100000000000001" customHeight="1">
      <c r="B27" s="168"/>
      <c r="C27" s="278" t="s">
        <v>165</v>
      </c>
      <c r="D27" s="279"/>
      <c r="E27" s="172"/>
      <c r="F27" s="170" t="s">
        <v>166</v>
      </c>
      <c r="G27" s="171"/>
      <c r="H27" s="78"/>
    </row>
    <row r="28" spans="2:10" ht="29.1" customHeight="1">
      <c r="C28" s="93" t="s">
        <v>105</v>
      </c>
      <c r="D28" s="94" t="s">
        <v>492</v>
      </c>
      <c r="E28" s="87"/>
      <c r="F28" s="203" t="s">
        <v>164</v>
      </c>
      <c r="G28" s="4"/>
      <c r="H28" s="85"/>
    </row>
    <row r="29" spans="2:10" ht="29.1" customHeight="1">
      <c r="C29" s="93" t="s">
        <v>106</v>
      </c>
      <c r="D29" s="94" t="s">
        <v>493</v>
      </c>
      <c r="E29" s="87"/>
      <c r="F29" s="203" t="s">
        <v>164</v>
      </c>
      <c r="G29" s="4"/>
      <c r="H29" s="85"/>
    </row>
    <row r="30" spans="2:10" ht="29.1" customHeight="1">
      <c r="C30" s="93" t="s">
        <v>107</v>
      </c>
      <c r="D30" s="94" t="s">
        <v>494</v>
      </c>
      <c r="E30" s="87">
        <f>IF(D31=lookup!S9,lookup!T9,IF(D31=lookup!S10,lookup!T10,IF(D31=lookup!S11,lookup!T11,IF(D31=lookup!S12,lookup!T12,"D"))))</f>
        <v>2</v>
      </c>
      <c r="F30" s="129" t="str">
        <f>IF(F26="-","-",IF(D31="none","No","Yes"))</f>
        <v>-</v>
      </c>
      <c r="G30" s="4"/>
      <c r="H30" s="85"/>
    </row>
    <row r="31" spans="2:10" ht="48.6" customHeight="1">
      <c r="C31" s="93"/>
      <c r="D31" s="201" t="s">
        <v>204</v>
      </c>
      <c r="E31" s="87"/>
      <c r="F31" s="129"/>
      <c r="G31" s="4"/>
      <c r="H31" s="85"/>
    </row>
    <row r="32" spans="2:10" ht="29.1" customHeight="1">
      <c r="C32" s="93" t="s">
        <v>108</v>
      </c>
      <c r="D32" s="94" t="s">
        <v>495</v>
      </c>
      <c r="E32" s="87"/>
      <c r="F32" s="203" t="s">
        <v>164</v>
      </c>
      <c r="G32" s="4"/>
      <c r="H32" s="85"/>
    </row>
    <row r="33" spans="2:10" ht="29.1" customHeight="1">
      <c r="C33" s="93" t="s">
        <v>109</v>
      </c>
      <c r="D33" s="94" t="s">
        <v>496</v>
      </c>
      <c r="E33" s="87"/>
      <c r="F33" s="203" t="s">
        <v>164</v>
      </c>
      <c r="G33" s="4"/>
      <c r="H33" s="85"/>
    </row>
    <row r="34" spans="2:10" ht="18" customHeight="1">
      <c r="B34" s="85"/>
      <c r="C34" s="85"/>
      <c r="D34" s="95"/>
      <c r="E34" s="95" t="s">
        <v>174</v>
      </c>
      <c r="F34" s="96" t="str">
        <f>IF(F26="Yes",COUNTIF(F28:F33,"Yes") &amp;" of " &amp;COUNTIF(B28:C33,"*"),"-")</f>
        <v>-</v>
      </c>
      <c r="G34" s="97"/>
      <c r="H34" s="85"/>
    </row>
    <row r="35" spans="2:10" ht="7.35" customHeight="1">
      <c r="B35" s="85"/>
      <c r="C35" s="85"/>
      <c r="D35" s="98"/>
      <c r="E35" s="99"/>
      <c r="F35" s="100" t="s">
        <v>185</v>
      </c>
      <c r="G35" s="101"/>
      <c r="H35" s="85"/>
    </row>
    <row r="36" spans="2:10" ht="22.35" customHeight="1">
      <c r="B36" s="156"/>
      <c r="C36" s="157" t="s">
        <v>497</v>
      </c>
      <c r="D36" s="157"/>
      <c r="E36" s="158" t="str">
        <f>IF(Tabulations!E49=1, MAX(Tabulations!V49:AA49), 0) &amp;" of"</f>
        <v>0 of</v>
      </c>
      <c r="F36" s="157" t="str">
        <f>Tabulations!S49&amp;" Points"</f>
        <v>16 Points</v>
      </c>
      <c r="G36" s="159"/>
      <c r="H36" s="75"/>
      <c r="J36" s="69"/>
    </row>
    <row r="37" spans="2:10" ht="24" customHeight="1">
      <c r="B37" s="160"/>
      <c r="C37" s="270" t="s">
        <v>498</v>
      </c>
      <c r="D37" s="271"/>
      <c r="E37" s="271"/>
      <c r="F37" s="271"/>
      <c r="G37" s="161"/>
      <c r="H37" s="78"/>
      <c r="J37" s="69"/>
    </row>
    <row r="38" spans="2:10" ht="24" customHeight="1">
      <c r="B38" s="162"/>
      <c r="C38" s="273" t="s">
        <v>499</v>
      </c>
      <c r="D38" s="274"/>
      <c r="E38" s="274"/>
      <c r="F38" s="274"/>
      <c r="G38" s="163"/>
      <c r="H38" s="78"/>
    </row>
    <row r="39" spans="2:10" ht="28.35" customHeight="1">
      <c r="B39" s="162"/>
      <c r="C39" s="275" t="s">
        <v>500</v>
      </c>
      <c r="D39" s="274"/>
      <c r="E39" s="274"/>
      <c r="F39" s="274"/>
      <c r="G39" s="163"/>
      <c r="H39" s="78"/>
    </row>
    <row r="40" spans="2:10" ht="18" customHeight="1">
      <c r="B40" s="164"/>
      <c r="C40" s="276"/>
      <c r="D40" s="277"/>
      <c r="E40" s="165"/>
      <c r="F40" s="166" t="s">
        <v>103</v>
      </c>
      <c r="G40" s="167"/>
      <c r="H40" s="78"/>
    </row>
    <row r="41" spans="2:10" ht="29.1" customHeight="1">
      <c r="B41" s="85"/>
      <c r="C41" s="86"/>
      <c r="D41" s="86" t="s">
        <v>163</v>
      </c>
      <c r="E41" s="103"/>
      <c r="F41" s="204" t="s">
        <v>164</v>
      </c>
      <c r="G41" s="1"/>
      <c r="H41" s="85"/>
    </row>
    <row r="42" spans="2:10" ht="20.100000000000001" customHeight="1">
      <c r="B42" s="168"/>
      <c r="C42" s="278" t="s">
        <v>165</v>
      </c>
      <c r="D42" s="279"/>
      <c r="E42" s="172"/>
      <c r="F42" s="170" t="s">
        <v>166</v>
      </c>
      <c r="G42" s="171"/>
      <c r="H42" s="78"/>
    </row>
    <row r="43" spans="2:10" ht="29.1" customHeight="1">
      <c r="C43" s="93" t="s">
        <v>105</v>
      </c>
      <c r="D43" s="94" t="s">
        <v>501</v>
      </c>
      <c r="E43" s="87"/>
      <c r="F43" s="203" t="s">
        <v>164</v>
      </c>
      <c r="G43" s="4"/>
      <c r="H43" s="85"/>
    </row>
    <row r="44" spans="2:10" ht="29.1" customHeight="1">
      <c r="C44" s="93" t="s">
        <v>106</v>
      </c>
      <c r="D44" s="94" t="s">
        <v>502</v>
      </c>
      <c r="E44" s="87">
        <f>VLOOKUP(D45,lookup!S16:T19,2,FALSE)</f>
        <v>2</v>
      </c>
      <c r="F44" s="129" t="str">
        <f>IF(F41="-","-",IF(D45="none","No","Yes"))</f>
        <v>-</v>
      </c>
      <c r="G44" s="4"/>
      <c r="H44" s="85"/>
    </row>
    <row r="45" spans="2:10" ht="29.1" customHeight="1">
      <c r="C45" s="93"/>
      <c r="D45" s="201" t="s">
        <v>204</v>
      </c>
      <c r="E45" s="87"/>
      <c r="F45" s="129"/>
      <c r="G45" s="4"/>
      <c r="H45" s="85"/>
    </row>
    <row r="46" spans="2:10" ht="29.1" customHeight="1">
      <c r="C46" s="93" t="s">
        <v>107</v>
      </c>
      <c r="D46" s="94" t="s">
        <v>503</v>
      </c>
      <c r="E46" s="87"/>
      <c r="F46" s="203" t="s">
        <v>164</v>
      </c>
      <c r="G46" s="4"/>
      <c r="H46" s="85"/>
    </row>
    <row r="47" spans="2:10" ht="29.1" customHeight="1">
      <c r="C47" s="93" t="s">
        <v>108</v>
      </c>
      <c r="D47" s="94" t="s">
        <v>504</v>
      </c>
      <c r="E47" s="87"/>
      <c r="F47" s="203" t="s">
        <v>164</v>
      </c>
      <c r="G47" s="4"/>
      <c r="H47" s="85"/>
    </row>
    <row r="48" spans="2:10" ht="29.1" customHeight="1">
      <c r="C48" s="93" t="s">
        <v>109</v>
      </c>
      <c r="D48" s="94" t="s">
        <v>505</v>
      </c>
      <c r="E48" s="87"/>
      <c r="F48" s="203" t="s">
        <v>164</v>
      </c>
      <c r="G48" s="4"/>
      <c r="H48" s="85"/>
    </row>
    <row r="49" spans="2:10" ht="18" customHeight="1">
      <c r="B49" s="85"/>
      <c r="C49" s="85"/>
      <c r="D49" s="95"/>
      <c r="E49" s="95" t="s">
        <v>174</v>
      </c>
      <c r="F49" s="96" t="str">
        <f>IF(F41="Yes",COUNTIF(F43:F48,"Yes") &amp;" of " &amp;COUNTIF(B43:C48,"*"),"-")</f>
        <v>-</v>
      </c>
      <c r="G49" s="97"/>
      <c r="H49" s="85"/>
    </row>
    <row r="50" spans="2:10" ht="7.35" customHeight="1">
      <c r="B50" s="85"/>
      <c r="C50" s="85"/>
      <c r="D50" s="98"/>
      <c r="E50" s="99"/>
      <c r="F50" s="100"/>
      <c r="G50" s="101"/>
      <c r="H50" s="85"/>
    </row>
    <row r="51" spans="2:10" ht="22.35" customHeight="1">
      <c r="B51" s="156"/>
      <c r="C51" s="157" t="s">
        <v>506</v>
      </c>
      <c r="D51" s="157"/>
      <c r="E51" s="158" t="str">
        <f>IF(Tabulations!E50=1, MAX(Tabulations!V50:AA50), 0) &amp;" of"</f>
        <v>0 of</v>
      </c>
      <c r="F51" s="157" t="str">
        <f>Tabulations!S50&amp;" Points"</f>
        <v>24 Points</v>
      </c>
      <c r="G51" s="159"/>
      <c r="H51" s="75"/>
      <c r="J51" s="69"/>
    </row>
    <row r="52" spans="2:10" ht="29.1" customHeight="1">
      <c r="B52" s="160"/>
      <c r="C52" s="270" t="s">
        <v>507</v>
      </c>
      <c r="D52" s="271"/>
      <c r="E52" s="271"/>
      <c r="F52" s="271"/>
      <c r="G52" s="161"/>
      <c r="H52" s="78"/>
      <c r="J52" s="69"/>
    </row>
    <row r="53" spans="2:10" ht="29.1" customHeight="1">
      <c r="B53" s="162"/>
      <c r="C53" s="273" t="s">
        <v>508</v>
      </c>
      <c r="D53" s="274"/>
      <c r="E53" s="274"/>
      <c r="F53" s="274"/>
      <c r="G53" s="163"/>
      <c r="H53" s="78"/>
    </row>
    <row r="54" spans="2:10" ht="35.1" customHeight="1">
      <c r="B54" s="162"/>
      <c r="C54" s="275" t="s">
        <v>509</v>
      </c>
      <c r="D54" s="274"/>
      <c r="E54" s="274"/>
      <c r="F54" s="274"/>
      <c r="G54" s="163"/>
      <c r="H54" s="78"/>
    </row>
    <row r="55" spans="2:10" ht="18" customHeight="1">
      <c r="B55" s="164"/>
      <c r="C55" s="276"/>
      <c r="D55" s="277"/>
      <c r="E55" s="165"/>
      <c r="F55" s="166" t="s">
        <v>103</v>
      </c>
      <c r="G55" s="167"/>
      <c r="H55" s="78"/>
    </row>
    <row r="56" spans="2:10" ht="29.1" customHeight="1">
      <c r="B56" s="85"/>
      <c r="C56" s="86"/>
      <c r="D56" s="86" t="s">
        <v>163</v>
      </c>
      <c r="E56" s="103"/>
      <c r="F56" s="204" t="s">
        <v>164</v>
      </c>
      <c r="G56" s="1"/>
      <c r="H56" s="85"/>
    </row>
    <row r="57" spans="2:10" ht="20.100000000000001" customHeight="1">
      <c r="B57" s="168"/>
      <c r="C57" s="278" t="s">
        <v>165</v>
      </c>
      <c r="D57" s="279"/>
      <c r="E57" s="172"/>
      <c r="F57" s="170" t="s">
        <v>166</v>
      </c>
      <c r="G57" s="171"/>
      <c r="H57" s="78"/>
    </row>
    <row r="58" spans="2:10" ht="29.1" customHeight="1">
      <c r="C58" s="93" t="s">
        <v>105</v>
      </c>
      <c r="D58" s="94" t="s">
        <v>510</v>
      </c>
      <c r="E58" s="87">
        <f>VLOOKUP(D59,lookup!S22:T26,2,FALSE)</f>
        <v>2</v>
      </c>
      <c r="F58" s="129" t="str">
        <f>IF(F56="-","-",IF(D59="none","No","Yes"))</f>
        <v>-</v>
      </c>
      <c r="G58" s="4"/>
      <c r="H58" s="85"/>
    </row>
    <row r="59" spans="2:10" ht="29.1" customHeight="1">
      <c r="C59" s="93"/>
      <c r="D59" s="201" t="s">
        <v>204</v>
      </c>
      <c r="E59" s="87"/>
      <c r="F59" s="129"/>
      <c r="G59" s="4"/>
      <c r="H59" s="85"/>
    </row>
    <row r="60" spans="2:10" ht="29.1" customHeight="1">
      <c r="C60" s="93" t="s">
        <v>106</v>
      </c>
      <c r="D60" s="94" t="s">
        <v>511</v>
      </c>
      <c r="E60" s="87"/>
      <c r="F60" s="203" t="s">
        <v>164</v>
      </c>
      <c r="G60" s="4"/>
      <c r="H60" s="85"/>
    </row>
    <row r="61" spans="2:10" ht="18" customHeight="1">
      <c r="B61" s="85"/>
      <c r="C61" s="85"/>
      <c r="D61" s="95"/>
      <c r="E61" s="95" t="s">
        <v>174</v>
      </c>
      <c r="F61" s="96" t="str">
        <f>IF(F56="Yes",COUNTIF(F58:F60,"Yes") &amp;" of " &amp;COUNTIF(B58:C60,"*"),"-")</f>
        <v>-</v>
      </c>
      <c r="G61" s="97"/>
      <c r="H61" s="85"/>
    </row>
    <row r="62" spans="2:10" ht="18" customHeight="1">
      <c r="B62" s="85"/>
      <c r="C62" s="85"/>
      <c r="D62" s="95"/>
      <c r="E62" s="95"/>
      <c r="F62" s="96"/>
      <c r="G62" s="97"/>
      <c r="H62" s="85"/>
    </row>
    <row r="63" spans="2:10" s="69" customFormat="1" ht="18" customHeight="1">
      <c r="B63" s="67"/>
      <c r="C63" s="272" t="s">
        <v>512</v>
      </c>
      <c r="D63" s="272"/>
      <c r="E63" s="272"/>
      <c r="F63" s="272"/>
      <c r="G63" s="64"/>
      <c r="H63" s="68"/>
    </row>
    <row r="64" spans="2:10" ht="7.35" customHeight="1">
      <c r="B64" s="85"/>
      <c r="C64" s="85"/>
      <c r="D64" s="98"/>
      <c r="E64" s="99"/>
      <c r="F64" s="100"/>
      <c r="G64" s="101"/>
      <c r="H64" s="85"/>
    </row>
    <row r="65" spans="2:10" ht="22.35" customHeight="1">
      <c r="B65" s="156"/>
      <c r="C65" s="157" t="s">
        <v>513</v>
      </c>
      <c r="D65" s="157"/>
      <c r="E65" s="158" t="str">
        <f>IF(Tabulations!E51=1, MAX(Tabulations!V51:AA51), 0) &amp;" of"</f>
        <v>0 of</v>
      </c>
      <c r="F65" s="157" t="str">
        <f>Tabulations!S51&amp;" Points"</f>
        <v>22 Points</v>
      </c>
      <c r="G65" s="159"/>
      <c r="H65" s="75"/>
      <c r="J65" s="69"/>
    </row>
    <row r="66" spans="2:10" ht="29.1" customHeight="1">
      <c r="B66" s="160"/>
      <c r="C66" s="270" t="s">
        <v>514</v>
      </c>
      <c r="D66" s="271"/>
      <c r="E66" s="271"/>
      <c r="F66" s="271"/>
      <c r="G66" s="161"/>
      <c r="H66" s="78"/>
      <c r="J66" s="69"/>
    </row>
    <row r="67" spans="2:10" ht="29.1" customHeight="1">
      <c r="B67" s="162"/>
      <c r="C67" s="273" t="s">
        <v>515</v>
      </c>
      <c r="D67" s="274"/>
      <c r="E67" s="274"/>
      <c r="F67" s="274"/>
      <c r="G67" s="163"/>
      <c r="H67" s="78"/>
    </row>
    <row r="68" spans="2:10" ht="47.1" customHeight="1">
      <c r="B68" s="162"/>
      <c r="C68" s="275" t="s">
        <v>516</v>
      </c>
      <c r="D68" s="274"/>
      <c r="E68" s="274"/>
      <c r="F68" s="274"/>
      <c r="G68" s="163"/>
      <c r="H68" s="78"/>
    </row>
    <row r="69" spans="2:10" ht="18" customHeight="1">
      <c r="B69" s="164"/>
      <c r="C69" s="276"/>
      <c r="D69" s="277"/>
      <c r="E69" s="165"/>
      <c r="F69" s="166" t="s">
        <v>103</v>
      </c>
      <c r="G69" s="167"/>
      <c r="H69" s="78"/>
    </row>
    <row r="70" spans="2:10" ht="29.1" customHeight="1">
      <c r="B70" s="85"/>
      <c r="C70" s="86"/>
      <c r="D70" s="86" t="s">
        <v>163</v>
      </c>
      <c r="E70" s="86"/>
      <c r="F70" s="204" t="s">
        <v>164</v>
      </c>
      <c r="G70" s="1"/>
      <c r="H70" s="85"/>
    </row>
    <row r="71" spans="2:10" ht="20.100000000000001" customHeight="1">
      <c r="B71" s="168"/>
      <c r="C71" s="278" t="s">
        <v>165</v>
      </c>
      <c r="D71" s="279"/>
      <c r="E71" s="172"/>
      <c r="F71" s="170" t="s">
        <v>166</v>
      </c>
      <c r="G71" s="171"/>
      <c r="H71" s="78"/>
    </row>
    <row r="72" spans="2:10" ht="28.35" customHeight="1">
      <c r="C72" s="126" t="s">
        <v>105</v>
      </c>
      <c r="D72" s="127" t="s">
        <v>517</v>
      </c>
      <c r="E72" s="128"/>
      <c r="F72" s="204" t="s">
        <v>164</v>
      </c>
      <c r="G72" s="7"/>
      <c r="H72" s="85"/>
    </row>
    <row r="73" spans="2:10" ht="28.35" customHeight="1">
      <c r="C73" s="93" t="s">
        <v>106</v>
      </c>
      <c r="D73" s="94" t="s">
        <v>518</v>
      </c>
      <c r="E73" s="149"/>
      <c r="F73" s="200" t="s">
        <v>164</v>
      </c>
      <c r="G73" s="4"/>
      <c r="H73" s="85"/>
    </row>
    <row r="74" spans="2:10" ht="28.35" customHeight="1">
      <c r="C74" s="126" t="s">
        <v>107</v>
      </c>
      <c r="D74" s="127" t="s">
        <v>519</v>
      </c>
      <c r="E74" s="128">
        <f>VLOOKUP(D75,lookup!S29:T33,2,FALSE)</f>
        <v>2</v>
      </c>
      <c r="F74" s="129" t="str">
        <f>IF(F70="-","-",IF(D75="none","No","Yes"))</f>
        <v>-</v>
      </c>
      <c r="G74" s="7"/>
      <c r="H74" s="85"/>
    </row>
    <row r="75" spans="2:10" ht="34.35" customHeight="1">
      <c r="C75" s="93"/>
      <c r="D75" s="201" t="s">
        <v>204</v>
      </c>
      <c r="E75" s="149"/>
      <c r="F75" s="149"/>
      <c r="G75" s="4"/>
      <c r="H75" s="85"/>
    </row>
    <row r="76" spans="2:10" ht="28.35" customHeight="1">
      <c r="C76" s="93" t="s">
        <v>108</v>
      </c>
      <c r="D76" s="94" t="s">
        <v>520</v>
      </c>
      <c r="E76" s="149"/>
      <c r="F76" s="200" t="s">
        <v>164</v>
      </c>
      <c r="G76" s="4"/>
      <c r="H76" s="85"/>
    </row>
    <row r="77" spans="2:10" ht="18" customHeight="1">
      <c r="B77" s="85"/>
      <c r="C77" s="85"/>
      <c r="D77" s="95"/>
      <c r="E77" s="95" t="s">
        <v>174</v>
      </c>
      <c r="F77" s="96" t="str">
        <f>IF(F70="Yes",COUNTIF(F72:F76,"Yes") &amp;" of " &amp;COUNTIF(B72:C76,"*"),"-")</f>
        <v>-</v>
      </c>
      <c r="G77" s="97"/>
      <c r="H77" s="85"/>
    </row>
    <row r="78" spans="2:10" ht="7.5" customHeight="1">
      <c r="B78" s="85"/>
      <c r="C78" s="85"/>
      <c r="D78" s="95"/>
      <c r="E78" s="95"/>
      <c r="F78" s="96"/>
      <c r="G78" s="97"/>
      <c r="H78" s="85"/>
    </row>
    <row r="79" spans="2:10" ht="6.75" customHeight="1">
      <c r="B79" s="85"/>
      <c r="C79" s="85"/>
      <c r="D79" s="95"/>
      <c r="E79" s="6"/>
      <c r="F79" s="107"/>
      <c r="G79" s="97"/>
      <c r="H79" s="85"/>
    </row>
    <row r="80" spans="2:10" ht="22.35" customHeight="1">
      <c r="B80" s="156"/>
      <c r="C80" s="157" t="s">
        <v>521</v>
      </c>
      <c r="D80" s="157"/>
      <c r="E80" s="158" t="str">
        <f>IF(Tabulations!E52=1, MAX(Tabulations!V52:AA52), 0) &amp;" of"</f>
        <v>0 of</v>
      </c>
      <c r="F80" s="157" t="str">
        <f>Tabulations!S52&amp;" Points"</f>
        <v>24 Points</v>
      </c>
      <c r="G80" s="159"/>
      <c r="H80" s="75"/>
      <c r="J80" s="69"/>
    </row>
    <row r="81" spans="2:10" ht="24" customHeight="1">
      <c r="B81" s="160"/>
      <c r="C81" s="270" t="s">
        <v>522</v>
      </c>
      <c r="D81" s="271"/>
      <c r="E81" s="271"/>
      <c r="F81" s="271"/>
      <c r="G81" s="161"/>
      <c r="H81" s="78"/>
      <c r="J81" s="69"/>
    </row>
    <row r="82" spans="2:10" ht="29.1" customHeight="1">
      <c r="B82" s="162"/>
      <c r="C82" s="273" t="s">
        <v>523</v>
      </c>
      <c r="D82" s="274"/>
      <c r="E82" s="274"/>
      <c r="F82" s="274"/>
      <c r="G82" s="163"/>
      <c r="H82" s="78"/>
    </row>
    <row r="83" spans="2:10" ht="55.35" customHeight="1">
      <c r="B83" s="162"/>
      <c r="C83" s="275" t="s">
        <v>524</v>
      </c>
      <c r="D83" s="274"/>
      <c r="E83" s="274"/>
      <c r="F83" s="274"/>
      <c r="G83" s="163"/>
      <c r="H83" s="78"/>
    </row>
    <row r="84" spans="2:10" ht="18" customHeight="1">
      <c r="B84" s="164"/>
      <c r="C84" s="276"/>
      <c r="D84" s="277"/>
      <c r="E84" s="165"/>
      <c r="F84" s="166" t="s">
        <v>103</v>
      </c>
      <c r="G84" s="167"/>
      <c r="H84" s="78"/>
    </row>
    <row r="85" spans="2:10" ht="24" customHeight="1">
      <c r="B85" s="85"/>
      <c r="C85" s="86"/>
      <c r="D85" s="86" t="s">
        <v>163</v>
      </c>
      <c r="E85" s="86"/>
      <c r="F85" s="204" t="s">
        <v>164</v>
      </c>
      <c r="G85" s="1"/>
      <c r="H85" s="85"/>
    </row>
    <row r="86" spans="2:10" ht="20.100000000000001" customHeight="1">
      <c r="B86" s="168"/>
      <c r="C86" s="278" t="s">
        <v>165</v>
      </c>
      <c r="D86" s="279"/>
      <c r="E86" s="172"/>
      <c r="F86" s="170" t="s">
        <v>166</v>
      </c>
      <c r="G86" s="171"/>
      <c r="H86" s="78"/>
    </row>
    <row r="87" spans="2:10" ht="28.35" customHeight="1">
      <c r="C87" s="126" t="s">
        <v>105</v>
      </c>
      <c r="D87" s="94" t="s">
        <v>525</v>
      </c>
      <c r="E87" s="149">
        <f>VLOOKUP(D88,lookup!S36:T41,2,FALSE)</f>
        <v>2</v>
      </c>
      <c r="F87" s="88" t="str">
        <f>IF(F85="-","-",IF(D88="none","No","Yes"))</f>
        <v>-</v>
      </c>
      <c r="G87" s="7"/>
      <c r="H87" s="85"/>
    </row>
    <row r="88" spans="2:10" ht="48" customHeight="1">
      <c r="C88" s="93"/>
      <c r="D88" s="201" t="s">
        <v>204</v>
      </c>
      <c r="E88" s="149"/>
      <c r="F88" s="105"/>
      <c r="G88" s="4"/>
      <c r="H88" s="85"/>
    </row>
    <row r="89" spans="2:10" ht="28.35" customHeight="1">
      <c r="C89" s="126" t="s">
        <v>106</v>
      </c>
      <c r="D89" s="94" t="s">
        <v>526</v>
      </c>
      <c r="E89" s="149">
        <f>VLOOKUP(D90,lookup!S43:T48,2,FALSE)</f>
        <v>2</v>
      </c>
      <c r="F89" s="88" t="str">
        <f>IF(F85="-","-",IF(D90="none","No","Yes"))</f>
        <v>-</v>
      </c>
      <c r="G89" s="7"/>
      <c r="H89" s="85"/>
    </row>
    <row r="90" spans="2:10" ht="28.35" customHeight="1">
      <c r="C90" s="93"/>
      <c r="D90" s="201" t="s">
        <v>204</v>
      </c>
      <c r="E90" s="149"/>
      <c r="F90" s="105"/>
      <c r="G90" s="4"/>
      <c r="H90" s="85"/>
    </row>
    <row r="91" spans="2:10" ht="28.35" customHeight="1">
      <c r="C91" s="126" t="s">
        <v>107</v>
      </c>
      <c r="D91" s="127" t="s">
        <v>527</v>
      </c>
      <c r="E91" s="128"/>
      <c r="F91" s="203" t="s">
        <v>164</v>
      </c>
      <c r="G91" s="7"/>
      <c r="H91" s="85"/>
    </row>
    <row r="92" spans="2:10" ht="28.35" customHeight="1">
      <c r="C92" s="126" t="s">
        <v>108</v>
      </c>
      <c r="D92" s="127" t="s">
        <v>528</v>
      </c>
      <c r="E92" s="128"/>
      <c r="F92" s="203" t="s">
        <v>164</v>
      </c>
      <c r="G92" s="7"/>
      <c r="H92" s="85"/>
    </row>
    <row r="93" spans="2:10" ht="13.5">
      <c r="B93" s="85"/>
      <c r="C93" s="85"/>
      <c r="D93" s="95"/>
      <c r="E93" s="95" t="s">
        <v>174</v>
      </c>
      <c r="F93" s="96" t="str">
        <f>IF(F85="Yes",COUNTIF(F87:F92,"Yes") &amp;" of " &amp;COUNTIF(B87:C92,"*"),"-")</f>
        <v>-</v>
      </c>
      <c r="G93" s="97"/>
      <c r="H93" s="85"/>
    </row>
    <row r="94" spans="2:10" ht="6.75" customHeight="1">
      <c r="B94" s="85"/>
      <c r="C94" s="85"/>
      <c r="D94" s="95"/>
      <c r="E94" s="6"/>
      <c r="F94" s="107"/>
      <c r="G94" s="97"/>
      <c r="H94" s="85"/>
    </row>
    <row r="95" spans="2:10" ht="22.35" customHeight="1">
      <c r="B95" s="156"/>
      <c r="C95" s="157" t="s">
        <v>529</v>
      </c>
      <c r="D95" s="157"/>
      <c r="E95" s="158" t="str">
        <f>IF(Tabulations!E53=1, MAX(Tabulations!V53:AA53), 0) &amp;" of"</f>
        <v>0 of</v>
      </c>
      <c r="F95" s="157" t="str">
        <f>Tabulations!S53&amp;" Points"</f>
        <v>12 Points</v>
      </c>
      <c r="G95" s="159"/>
      <c r="H95" s="75"/>
      <c r="J95" s="69"/>
    </row>
    <row r="96" spans="2:10" ht="24" customHeight="1">
      <c r="B96" s="160"/>
      <c r="C96" s="270" t="s">
        <v>530</v>
      </c>
      <c r="D96" s="271"/>
      <c r="E96" s="271"/>
      <c r="F96" s="271"/>
      <c r="G96" s="161"/>
      <c r="H96" s="78"/>
      <c r="J96" s="69"/>
    </row>
    <row r="97" spans="2:10" ht="28.35" customHeight="1">
      <c r="B97" s="162"/>
      <c r="C97" s="273" t="s">
        <v>531</v>
      </c>
      <c r="D97" s="274"/>
      <c r="E97" s="274"/>
      <c r="F97" s="274"/>
      <c r="G97" s="163"/>
      <c r="H97" s="78"/>
    </row>
    <row r="98" spans="2:10" ht="28.35" customHeight="1">
      <c r="B98" s="162"/>
      <c r="C98" s="275" t="s">
        <v>532</v>
      </c>
      <c r="D98" s="274"/>
      <c r="E98" s="274"/>
      <c r="F98" s="274"/>
      <c r="G98" s="163"/>
      <c r="H98" s="78"/>
    </row>
    <row r="99" spans="2:10" ht="18" customHeight="1">
      <c r="B99" s="164"/>
      <c r="C99" s="276"/>
      <c r="D99" s="277"/>
      <c r="E99" s="165"/>
      <c r="F99" s="166" t="s">
        <v>103</v>
      </c>
      <c r="G99" s="167"/>
      <c r="H99" s="78"/>
    </row>
    <row r="100" spans="2:10" ht="24" customHeight="1">
      <c r="B100" s="85"/>
      <c r="C100" s="86"/>
      <c r="D100" s="86" t="s">
        <v>163</v>
      </c>
      <c r="E100" s="86"/>
      <c r="F100" s="204" t="s">
        <v>164</v>
      </c>
      <c r="G100" s="1"/>
      <c r="H100" s="85"/>
    </row>
    <row r="101" spans="2:10" ht="20.100000000000001" customHeight="1">
      <c r="B101" s="168"/>
      <c r="C101" s="278" t="s">
        <v>165</v>
      </c>
      <c r="D101" s="279"/>
      <c r="E101" s="172"/>
      <c r="F101" s="170" t="s">
        <v>166</v>
      </c>
      <c r="G101" s="171"/>
      <c r="H101" s="78"/>
    </row>
    <row r="102" spans="2:10" ht="38.25" customHeight="1">
      <c r="C102" s="126" t="s">
        <v>105</v>
      </c>
      <c r="D102" s="127" t="s">
        <v>533</v>
      </c>
      <c r="E102" s="128"/>
      <c r="F102" s="203" t="s">
        <v>164</v>
      </c>
      <c r="G102" s="7"/>
      <c r="H102" s="85"/>
    </row>
    <row r="103" spans="2:10" ht="28.35" customHeight="1">
      <c r="C103" s="126" t="s">
        <v>106</v>
      </c>
      <c r="D103" s="127" t="s">
        <v>534</v>
      </c>
      <c r="E103" s="128"/>
      <c r="F103" s="203" t="s">
        <v>164</v>
      </c>
      <c r="G103" s="7"/>
      <c r="H103" s="85"/>
    </row>
    <row r="104" spans="2:10" ht="29.25" customHeight="1">
      <c r="C104" s="126" t="s">
        <v>107</v>
      </c>
      <c r="D104" s="94" t="s">
        <v>535</v>
      </c>
      <c r="E104" s="87">
        <f>VLOOKUP(D105,lookup!S51:T54,2,FALSE)</f>
        <v>2</v>
      </c>
      <c r="F104" s="88" t="str">
        <f>IF(F100="-","-",IF(D105="none","No","Yes"))</f>
        <v>-</v>
      </c>
      <c r="G104" s="7"/>
      <c r="H104" s="85"/>
    </row>
    <row r="105" spans="2:10" ht="35.85" customHeight="1">
      <c r="C105" s="93"/>
      <c r="D105" s="201" t="s">
        <v>204</v>
      </c>
      <c r="E105" s="149"/>
      <c r="F105" s="105"/>
      <c r="G105" s="4"/>
      <c r="H105" s="85"/>
    </row>
    <row r="106" spans="2:10" ht="32.1" customHeight="1">
      <c r="C106" s="126" t="s">
        <v>108</v>
      </c>
      <c r="D106" s="127" t="s">
        <v>536</v>
      </c>
      <c r="E106" s="128"/>
      <c r="F106" s="203" t="s">
        <v>164</v>
      </c>
      <c r="G106" s="7"/>
      <c r="H106" s="85"/>
    </row>
    <row r="107" spans="2:10" ht="13.5">
      <c r="B107" s="85"/>
      <c r="C107" s="85"/>
      <c r="D107" s="95"/>
      <c r="E107" s="95" t="s">
        <v>174</v>
      </c>
      <c r="F107" s="96" t="str">
        <f>IF(F100="Yes",COUNTIF(F102:F106,"Yes") &amp;" of " &amp;COUNTIF(B102:C106,"*"),"-")</f>
        <v>-</v>
      </c>
      <c r="G107" s="97"/>
      <c r="H107" s="85"/>
    </row>
    <row r="108" spans="2:10" ht="6.75" customHeight="1">
      <c r="B108" s="85"/>
      <c r="C108" s="85"/>
      <c r="D108" s="95"/>
      <c r="E108" s="6"/>
      <c r="F108" s="107"/>
      <c r="G108" s="97"/>
      <c r="H108" s="85"/>
    </row>
    <row r="109" spans="2:10" ht="22.35" customHeight="1">
      <c r="B109" s="156"/>
      <c r="C109" s="157" t="s">
        <v>537</v>
      </c>
      <c r="D109" s="157"/>
      <c r="E109" s="158" t="str">
        <f>IF(Tabulations!E54=1, MAX(Tabulations!V54:AA54), 0) &amp;" of"</f>
        <v>0 of</v>
      </c>
      <c r="F109" s="157" t="str">
        <f>Tabulations!S54&amp;" Points"</f>
        <v>20 Points</v>
      </c>
      <c r="G109" s="159"/>
      <c r="H109" s="75"/>
      <c r="J109" s="69"/>
    </row>
    <row r="110" spans="2:10" ht="29.1" customHeight="1">
      <c r="B110" s="160"/>
      <c r="C110" s="270" t="s">
        <v>538</v>
      </c>
      <c r="D110" s="271"/>
      <c r="E110" s="271"/>
      <c r="F110" s="271"/>
      <c r="G110" s="161"/>
      <c r="H110" s="78"/>
      <c r="J110" s="69"/>
    </row>
    <row r="111" spans="2:10" ht="29.1" customHeight="1">
      <c r="B111" s="162"/>
      <c r="C111" s="273" t="s">
        <v>539</v>
      </c>
      <c r="D111" s="274"/>
      <c r="E111" s="274"/>
      <c r="F111" s="274"/>
      <c r="G111" s="163"/>
      <c r="H111" s="78"/>
    </row>
    <row r="112" spans="2:10" ht="45.6" customHeight="1">
      <c r="B112" s="162"/>
      <c r="C112" s="275" t="s">
        <v>540</v>
      </c>
      <c r="D112" s="274"/>
      <c r="E112" s="274"/>
      <c r="F112" s="274"/>
      <c r="G112" s="163"/>
      <c r="H112" s="78"/>
    </row>
    <row r="113" spans="2:10" ht="18" customHeight="1">
      <c r="B113" s="164"/>
      <c r="C113" s="276"/>
      <c r="D113" s="277"/>
      <c r="E113" s="165"/>
      <c r="F113" s="166" t="s">
        <v>103</v>
      </c>
      <c r="G113" s="167"/>
      <c r="H113" s="78"/>
    </row>
    <row r="114" spans="2:10" ht="29.1" customHeight="1">
      <c r="B114" s="85"/>
      <c r="C114" s="86"/>
      <c r="D114" s="86" t="s">
        <v>163</v>
      </c>
      <c r="E114" s="86"/>
      <c r="F114" s="204" t="s">
        <v>164</v>
      </c>
      <c r="G114" s="1"/>
      <c r="H114" s="85"/>
    </row>
    <row r="115" spans="2:10" ht="20.100000000000001" customHeight="1">
      <c r="B115" s="168"/>
      <c r="C115" s="278" t="s">
        <v>165</v>
      </c>
      <c r="D115" s="279"/>
      <c r="E115" s="172"/>
      <c r="F115" s="170" t="s">
        <v>166</v>
      </c>
      <c r="G115" s="171"/>
      <c r="H115" s="78"/>
    </row>
    <row r="116" spans="2:10" ht="27.6" customHeight="1">
      <c r="C116" s="126" t="s">
        <v>105</v>
      </c>
      <c r="D116" s="127" t="s">
        <v>541</v>
      </c>
      <c r="E116" s="128"/>
      <c r="F116" s="203" t="s">
        <v>164</v>
      </c>
      <c r="G116" s="7"/>
      <c r="H116" s="85"/>
    </row>
    <row r="117" spans="2:10" ht="27.6" customHeight="1">
      <c r="C117" s="126" t="s">
        <v>106</v>
      </c>
      <c r="D117" s="127" t="s">
        <v>542</v>
      </c>
      <c r="E117" s="128"/>
      <c r="F117" s="203" t="s">
        <v>164</v>
      </c>
      <c r="G117" s="7"/>
      <c r="H117" s="85"/>
    </row>
    <row r="118" spans="2:10" ht="27.6" customHeight="1">
      <c r="C118" s="126" t="s">
        <v>107</v>
      </c>
      <c r="D118" s="127" t="s">
        <v>543</v>
      </c>
      <c r="E118" s="128"/>
      <c r="F118" s="203" t="s">
        <v>164</v>
      </c>
      <c r="G118" s="7"/>
      <c r="H118" s="85"/>
    </row>
    <row r="119" spans="2:10" ht="27.6" customHeight="1">
      <c r="C119" s="126" t="s">
        <v>108</v>
      </c>
      <c r="D119" s="127" t="s">
        <v>544</v>
      </c>
      <c r="E119" s="128"/>
      <c r="F119" s="203" t="s">
        <v>164</v>
      </c>
      <c r="G119" s="7"/>
      <c r="H119" s="85"/>
    </row>
    <row r="120" spans="2:10" ht="27.6" customHeight="1">
      <c r="C120" s="126" t="s">
        <v>109</v>
      </c>
      <c r="D120" s="127" t="s">
        <v>545</v>
      </c>
      <c r="E120" s="128"/>
      <c r="F120" s="203" t="s">
        <v>164</v>
      </c>
      <c r="G120" s="7"/>
      <c r="H120" s="85"/>
    </row>
    <row r="121" spans="2:10" ht="27.6" customHeight="1">
      <c r="C121" s="126" t="s">
        <v>110</v>
      </c>
      <c r="D121" s="127" t="s">
        <v>546</v>
      </c>
      <c r="E121" s="128"/>
      <c r="F121" s="203" t="s">
        <v>164</v>
      </c>
      <c r="G121" s="7"/>
      <c r="H121" s="85"/>
    </row>
    <row r="122" spans="2:10" ht="13.5">
      <c r="B122" s="85"/>
      <c r="C122" s="85"/>
      <c r="D122" s="95"/>
      <c r="E122" s="95" t="s">
        <v>174</v>
      </c>
      <c r="F122" s="96" t="str">
        <f>IF(F114="Yes",COUNTIF(F116:F121,"Yes") &amp;" of " &amp;COUNTIF(C116:C121,"*"),"-")</f>
        <v>-</v>
      </c>
      <c r="G122" s="97"/>
      <c r="H122" s="85"/>
    </row>
    <row r="123" spans="2:10" s="69" customFormat="1" ht="18" customHeight="1">
      <c r="B123" s="67"/>
      <c r="C123" s="272" t="s">
        <v>547</v>
      </c>
      <c r="D123" s="272"/>
      <c r="E123" s="272"/>
      <c r="F123" s="272"/>
      <c r="G123" s="64"/>
      <c r="H123" s="68"/>
    </row>
    <row r="124" spans="2:10" ht="6.75" customHeight="1">
      <c r="B124" s="85"/>
      <c r="C124" s="85"/>
      <c r="D124" s="95"/>
      <c r="E124" s="6"/>
      <c r="F124" s="107"/>
      <c r="G124" s="97"/>
      <c r="H124" s="85"/>
    </row>
    <row r="125" spans="2:10" ht="6.75" customHeight="1">
      <c r="B125" s="85"/>
      <c r="C125" s="85"/>
      <c r="D125" s="95"/>
      <c r="E125" s="6"/>
      <c r="F125" s="107"/>
      <c r="G125" s="97"/>
      <c r="H125" s="85"/>
    </row>
    <row r="126" spans="2:10" ht="22.35" customHeight="1">
      <c r="B126" s="156"/>
      <c r="C126" s="157" t="s">
        <v>548</v>
      </c>
      <c r="D126" s="157"/>
      <c r="E126" s="158" t="str">
        <f>IF(Tabulations!E55=1, MAX(Tabulations!V55:AA55), 0) &amp;" of"</f>
        <v>0 of</v>
      </c>
      <c r="F126" s="157" t="str">
        <f>Tabulations!S55&amp;" Points"</f>
        <v>18 Points</v>
      </c>
      <c r="G126" s="159"/>
      <c r="H126" s="75"/>
      <c r="J126" s="69"/>
    </row>
    <row r="127" spans="2:10" ht="28.35" customHeight="1">
      <c r="B127" s="160"/>
      <c r="C127" s="270" t="s">
        <v>549</v>
      </c>
      <c r="D127" s="271"/>
      <c r="E127" s="271"/>
      <c r="F127" s="271"/>
      <c r="G127" s="161"/>
      <c r="H127" s="78"/>
      <c r="J127" s="69"/>
    </row>
    <row r="128" spans="2:10" ht="24" customHeight="1">
      <c r="B128" s="162"/>
      <c r="C128" s="273" t="s">
        <v>550</v>
      </c>
      <c r="D128" s="274"/>
      <c r="E128" s="274"/>
      <c r="F128" s="274"/>
      <c r="G128" s="163"/>
      <c r="H128" s="78"/>
    </row>
    <row r="129" spans="2:10" ht="36" customHeight="1">
      <c r="B129" s="162"/>
      <c r="C129" s="275" t="s">
        <v>551</v>
      </c>
      <c r="D129" s="274"/>
      <c r="E129" s="274"/>
      <c r="F129" s="274"/>
      <c r="G129" s="163"/>
      <c r="H129" s="78"/>
    </row>
    <row r="130" spans="2:10" ht="18" customHeight="1">
      <c r="B130" s="164"/>
      <c r="C130" s="276"/>
      <c r="D130" s="277"/>
      <c r="E130" s="165"/>
      <c r="F130" s="166" t="s">
        <v>103</v>
      </c>
      <c r="G130" s="167"/>
      <c r="H130" s="78"/>
    </row>
    <row r="131" spans="2:10" ht="29.1" customHeight="1">
      <c r="B131" s="85"/>
      <c r="C131" s="86"/>
      <c r="D131" s="86" t="s">
        <v>163</v>
      </c>
      <c r="E131" s="86"/>
      <c r="F131" s="204" t="s">
        <v>164</v>
      </c>
      <c r="G131" s="1"/>
      <c r="H131" s="85"/>
    </row>
    <row r="132" spans="2:10" ht="20.100000000000001" customHeight="1">
      <c r="B132" s="168"/>
      <c r="C132" s="278" t="s">
        <v>165</v>
      </c>
      <c r="D132" s="279"/>
      <c r="E132" s="172"/>
      <c r="F132" s="170" t="s">
        <v>166</v>
      </c>
      <c r="G132" s="171"/>
      <c r="H132" s="78"/>
    </row>
    <row r="133" spans="2:10" ht="27.6" customHeight="1">
      <c r="C133" s="126" t="s">
        <v>105</v>
      </c>
      <c r="D133" s="127" t="s">
        <v>552</v>
      </c>
      <c r="E133" s="128"/>
      <c r="F133" s="203" t="s">
        <v>164</v>
      </c>
      <c r="G133" s="7"/>
      <c r="H133" s="85"/>
    </row>
    <row r="134" spans="2:10" ht="27.6" customHeight="1">
      <c r="C134" s="126" t="s">
        <v>106</v>
      </c>
      <c r="D134" s="94" t="s">
        <v>553</v>
      </c>
      <c r="E134" s="87">
        <f>IF(D135=lookup!S58,lookup!T58,IF(D135=lookup!S59,lookup!T59,2))</f>
        <v>2</v>
      </c>
      <c r="F134" s="88" t="str">
        <f>IF(F131="-","-",IF(D135="none","No","Yes"))</f>
        <v>-</v>
      </c>
      <c r="G134" s="7"/>
      <c r="H134" s="85"/>
    </row>
    <row r="135" spans="2:10" ht="38.85" customHeight="1">
      <c r="C135" s="93"/>
      <c r="D135" s="201" t="s">
        <v>204</v>
      </c>
      <c r="E135" s="149"/>
      <c r="F135" s="105"/>
      <c r="G135" s="4"/>
      <c r="H135" s="85"/>
    </row>
    <row r="136" spans="2:10" ht="27.6" customHeight="1">
      <c r="C136" s="126" t="s">
        <v>107</v>
      </c>
      <c r="D136" s="94" t="s">
        <v>554</v>
      </c>
      <c r="E136" s="149"/>
      <c r="F136" s="203" t="s">
        <v>164</v>
      </c>
      <c r="G136" s="7"/>
      <c r="H136" s="85"/>
    </row>
    <row r="137" spans="2:10" ht="27.6" customHeight="1">
      <c r="C137" s="126" t="s">
        <v>108</v>
      </c>
      <c r="D137" s="94" t="s">
        <v>555</v>
      </c>
      <c r="E137" s="149"/>
      <c r="F137" s="203" t="s">
        <v>164</v>
      </c>
      <c r="G137" s="7"/>
      <c r="H137" s="85"/>
    </row>
    <row r="138" spans="2:10" ht="27.6" customHeight="1">
      <c r="C138" s="126" t="s">
        <v>109</v>
      </c>
      <c r="D138" s="94" t="s">
        <v>556</v>
      </c>
      <c r="E138" s="87"/>
      <c r="F138" s="203" t="s">
        <v>164</v>
      </c>
      <c r="G138" s="7"/>
      <c r="H138" s="85"/>
    </row>
    <row r="139" spans="2:10" ht="27.6" customHeight="1">
      <c r="C139" s="93" t="s">
        <v>110</v>
      </c>
      <c r="D139" s="94" t="s">
        <v>557</v>
      </c>
      <c r="E139" s="105"/>
      <c r="F139" s="200" t="s">
        <v>164</v>
      </c>
      <c r="G139" s="4"/>
      <c r="H139" s="85"/>
    </row>
    <row r="140" spans="2:10" ht="13.5">
      <c r="B140" s="85"/>
      <c r="C140" s="85"/>
      <c r="D140" s="95"/>
      <c r="E140" s="95" t="s">
        <v>174</v>
      </c>
      <c r="F140" s="96" t="str">
        <f>IF(F131="Yes",COUNTIF(F133:F139,"Yes") &amp;" of " &amp;COUNTIF(B133:C139,"*"),"-")</f>
        <v>-</v>
      </c>
      <c r="G140" s="97"/>
      <c r="H140" s="85"/>
    </row>
    <row r="141" spans="2:10" ht="6.75" customHeight="1">
      <c r="B141" s="85"/>
      <c r="C141" s="85"/>
      <c r="D141" s="95"/>
      <c r="E141" s="6"/>
      <c r="F141" s="107"/>
      <c r="G141" s="97"/>
      <c r="H141" s="85"/>
    </row>
    <row r="142" spans="2:10" ht="22.35" customHeight="1">
      <c r="B142" s="156"/>
      <c r="C142" s="157" t="s">
        <v>558</v>
      </c>
      <c r="D142" s="157"/>
      <c r="E142" s="158" t="str">
        <f>IF(Tabulations!E56=1, MAX(Tabulations!V56:AA56), 0) &amp;" of"</f>
        <v>0 of</v>
      </c>
      <c r="F142" s="157" t="str">
        <f>Tabulations!S56&amp;" Points"</f>
        <v>20 Points</v>
      </c>
      <c r="G142" s="159"/>
      <c r="H142" s="75"/>
      <c r="J142" s="69"/>
    </row>
    <row r="143" spans="2:10" ht="29.1" customHeight="1">
      <c r="B143" s="160"/>
      <c r="C143" s="270" t="s">
        <v>559</v>
      </c>
      <c r="D143" s="271"/>
      <c r="E143" s="271"/>
      <c r="F143" s="271"/>
      <c r="G143" s="161"/>
      <c r="H143" s="78"/>
      <c r="J143" s="69"/>
    </row>
    <row r="144" spans="2:10" ht="29.1" customHeight="1">
      <c r="B144" s="162"/>
      <c r="C144" s="273" t="s">
        <v>560</v>
      </c>
      <c r="D144" s="274"/>
      <c r="E144" s="274"/>
      <c r="F144" s="274"/>
      <c r="G144" s="163"/>
      <c r="H144" s="78"/>
    </row>
    <row r="145" spans="2:10" ht="33" customHeight="1">
      <c r="B145" s="162"/>
      <c r="C145" s="275" t="s">
        <v>561</v>
      </c>
      <c r="D145" s="274"/>
      <c r="E145" s="274"/>
      <c r="F145" s="274"/>
      <c r="G145" s="163"/>
      <c r="H145" s="78"/>
    </row>
    <row r="146" spans="2:10" ht="18" customHeight="1">
      <c r="B146" s="164"/>
      <c r="C146" s="280"/>
      <c r="D146" s="281"/>
      <c r="E146" s="165"/>
      <c r="F146" s="166" t="s">
        <v>103</v>
      </c>
      <c r="G146" s="167"/>
      <c r="H146" s="78"/>
    </row>
    <row r="147" spans="2:10" ht="29.1" customHeight="1">
      <c r="B147" s="85"/>
      <c r="C147" s="86"/>
      <c r="D147" s="86" t="s">
        <v>163</v>
      </c>
      <c r="E147" s="86"/>
      <c r="F147" s="204" t="s">
        <v>164</v>
      </c>
      <c r="G147" s="1"/>
      <c r="H147" s="85"/>
    </row>
    <row r="148" spans="2:10" ht="20.100000000000001" customHeight="1">
      <c r="B148" s="168"/>
      <c r="C148" s="278" t="s">
        <v>165</v>
      </c>
      <c r="D148" s="279"/>
      <c r="E148" s="172"/>
      <c r="F148" s="170" t="s">
        <v>166</v>
      </c>
      <c r="G148" s="171"/>
      <c r="H148" s="78"/>
    </row>
    <row r="149" spans="2:10" ht="27.6" customHeight="1">
      <c r="C149" s="126" t="s">
        <v>105</v>
      </c>
      <c r="D149" s="127" t="s">
        <v>562</v>
      </c>
      <c r="E149" s="128"/>
      <c r="F149" s="203" t="s">
        <v>164</v>
      </c>
      <c r="G149" s="7"/>
      <c r="H149" s="85"/>
    </row>
    <row r="150" spans="2:10" ht="27.6" customHeight="1">
      <c r="C150" s="126" t="s">
        <v>106</v>
      </c>
      <c r="D150" s="94" t="s">
        <v>563</v>
      </c>
      <c r="E150" s="87">
        <f>IF(D151=lookup!S68,lookup!T68,IF(D151=lookup!S69,lookup!T69,2))</f>
        <v>2</v>
      </c>
      <c r="F150" s="88" t="str">
        <f>IF(F147="-","-",IF(D151="none","No","Yes"))</f>
        <v>-</v>
      </c>
      <c r="G150" s="7"/>
      <c r="H150" s="85"/>
    </row>
    <row r="151" spans="2:10" ht="51" customHeight="1">
      <c r="C151" s="93"/>
      <c r="D151" s="201" t="s">
        <v>204</v>
      </c>
      <c r="E151" s="149"/>
      <c r="F151" s="105"/>
      <c r="G151" s="4"/>
      <c r="H151" s="85"/>
    </row>
    <row r="152" spans="2:10" ht="27.6" customHeight="1">
      <c r="C152" s="126" t="s">
        <v>107</v>
      </c>
      <c r="D152" s="94" t="s">
        <v>564</v>
      </c>
      <c r="E152" s="149"/>
      <c r="F152" s="203" t="s">
        <v>164</v>
      </c>
      <c r="G152" s="7"/>
      <c r="H152" s="85"/>
    </row>
    <row r="153" spans="2:10" ht="27.6" customHeight="1">
      <c r="C153" s="126" t="s">
        <v>108</v>
      </c>
      <c r="D153" s="94" t="s">
        <v>565</v>
      </c>
      <c r="E153" s="149"/>
      <c r="F153" s="203" t="s">
        <v>164</v>
      </c>
      <c r="G153" s="7"/>
      <c r="H153" s="85"/>
    </row>
    <row r="154" spans="2:10" ht="27.6" customHeight="1">
      <c r="C154" s="126" t="s">
        <v>109</v>
      </c>
      <c r="D154" s="94" t="s">
        <v>566</v>
      </c>
      <c r="E154" s="87"/>
      <c r="F154" s="203" t="s">
        <v>164</v>
      </c>
      <c r="G154" s="7"/>
      <c r="H154" s="85"/>
    </row>
    <row r="155" spans="2:10" ht="27.6" customHeight="1">
      <c r="C155" s="93" t="s">
        <v>567</v>
      </c>
      <c r="D155" s="94" t="s">
        <v>568</v>
      </c>
      <c r="E155" s="105"/>
      <c r="F155" s="200" t="s">
        <v>164</v>
      </c>
      <c r="G155" s="4"/>
      <c r="H155" s="85"/>
    </row>
    <row r="156" spans="2:10" ht="40.35" customHeight="1">
      <c r="C156" s="93" t="s">
        <v>569</v>
      </c>
      <c r="D156" s="94" t="s">
        <v>570</v>
      </c>
      <c r="E156" s="105"/>
      <c r="F156" s="200" t="s">
        <v>164</v>
      </c>
      <c r="G156" s="4"/>
      <c r="H156" s="85"/>
    </row>
    <row r="157" spans="2:10" ht="13.5">
      <c r="B157" s="85"/>
      <c r="C157" s="85"/>
      <c r="D157" s="95"/>
      <c r="E157" s="95" t="s">
        <v>174</v>
      </c>
      <c r="F157" s="96" t="str">
        <f>IF(F147="Yes",COUNTIF(F149:F156,"Yes") &amp;" of " &amp;COUNTIF(C149:C156,"*"),"-")</f>
        <v>-</v>
      </c>
      <c r="G157" s="97"/>
      <c r="H157" s="85"/>
    </row>
    <row r="158" spans="2:10" ht="6.75" customHeight="1">
      <c r="B158" s="85"/>
      <c r="C158" s="85"/>
      <c r="D158" s="95"/>
      <c r="E158" s="6"/>
      <c r="F158" s="107"/>
      <c r="G158" s="97"/>
      <c r="H158" s="85"/>
    </row>
    <row r="159" spans="2:10" ht="22.35" customHeight="1">
      <c r="B159" s="156"/>
      <c r="C159" s="157" t="s">
        <v>571</v>
      </c>
      <c r="D159" s="157"/>
      <c r="E159" s="158" t="str">
        <f>IF(Tabulations!E57=1, MAX(Tabulations!V57:AA57), 0) &amp;" of"</f>
        <v>0 of</v>
      </c>
      <c r="F159" s="157" t="str">
        <f>Tabulations!S57&amp;" Points"</f>
        <v>14 Points</v>
      </c>
      <c r="G159" s="159"/>
      <c r="H159" s="75"/>
      <c r="J159" s="69"/>
    </row>
    <row r="160" spans="2:10" ht="29.1" customHeight="1">
      <c r="B160" s="160"/>
      <c r="C160" s="270" t="s">
        <v>572</v>
      </c>
      <c r="D160" s="271"/>
      <c r="E160" s="271"/>
      <c r="F160" s="271"/>
      <c r="G160" s="161"/>
      <c r="H160" s="78"/>
      <c r="J160" s="69"/>
    </row>
    <row r="161" spans="2:10" ht="29.1" customHeight="1">
      <c r="B161" s="162"/>
      <c r="C161" s="273" t="s">
        <v>573</v>
      </c>
      <c r="D161" s="274"/>
      <c r="E161" s="274"/>
      <c r="F161" s="274"/>
      <c r="G161" s="163"/>
      <c r="H161" s="78"/>
    </row>
    <row r="162" spans="2:10" ht="57.6" customHeight="1">
      <c r="B162" s="162"/>
      <c r="C162" s="275" t="s">
        <v>574</v>
      </c>
      <c r="D162" s="274"/>
      <c r="E162" s="274"/>
      <c r="F162" s="274"/>
      <c r="G162" s="163"/>
      <c r="H162" s="78"/>
    </row>
    <row r="163" spans="2:10" ht="18" customHeight="1">
      <c r="B163" s="164"/>
      <c r="C163" s="276"/>
      <c r="D163" s="277"/>
      <c r="E163" s="165"/>
      <c r="F163" s="166" t="s">
        <v>103</v>
      </c>
      <c r="G163" s="167"/>
      <c r="H163" s="78"/>
    </row>
    <row r="164" spans="2:10" ht="29.1" customHeight="1">
      <c r="B164" s="85"/>
      <c r="C164" s="86"/>
      <c r="D164" s="86" t="s">
        <v>163</v>
      </c>
      <c r="E164" s="86"/>
      <c r="F164" s="204" t="s">
        <v>164</v>
      </c>
      <c r="G164" s="1"/>
      <c r="H164" s="85"/>
    </row>
    <row r="165" spans="2:10" ht="20.100000000000001" customHeight="1">
      <c r="B165" s="168"/>
      <c r="C165" s="278" t="s">
        <v>165</v>
      </c>
      <c r="D165" s="279"/>
      <c r="E165" s="172"/>
      <c r="F165" s="170" t="s">
        <v>166</v>
      </c>
      <c r="G165" s="171"/>
      <c r="H165" s="78"/>
    </row>
    <row r="166" spans="2:10" ht="29.1" customHeight="1">
      <c r="C166" s="126" t="s">
        <v>105</v>
      </c>
      <c r="D166" s="127" t="s">
        <v>575</v>
      </c>
      <c r="E166" s="173"/>
      <c r="F166" s="203" t="s">
        <v>164</v>
      </c>
      <c r="G166" s="7"/>
      <c r="H166" s="85"/>
    </row>
    <row r="167" spans="2:10" ht="29.1" customHeight="1">
      <c r="C167" s="126" t="s">
        <v>106</v>
      </c>
      <c r="D167" s="94" t="s">
        <v>576</v>
      </c>
      <c r="E167" s="87">
        <f>VLOOKUP(D168,lookup!S72:T77,2,FALSE)</f>
        <v>2</v>
      </c>
      <c r="F167" s="88" t="str">
        <f>IF(F164="-","-",IF(D168="none","No","Yes"))</f>
        <v>-</v>
      </c>
      <c r="G167" s="7"/>
      <c r="H167" s="85"/>
    </row>
    <row r="168" spans="2:10" ht="28.35" customHeight="1">
      <c r="C168" s="93"/>
      <c r="D168" s="201" t="s">
        <v>204</v>
      </c>
      <c r="E168" s="149"/>
      <c r="F168" s="105"/>
      <c r="G168" s="4"/>
      <c r="H168" s="85"/>
    </row>
    <row r="169" spans="2:10" ht="28.35" customHeight="1">
      <c r="C169" s="126" t="s">
        <v>107</v>
      </c>
      <c r="D169" s="94" t="s">
        <v>577</v>
      </c>
      <c r="E169" s="87"/>
      <c r="F169" s="203" t="s">
        <v>164</v>
      </c>
      <c r="G169" s="4"/>
      <c r="H169" s="85"/>
    </row>
    <row r="170" spans="2:10" ht="28.35" customHeight="1">
      <c r="C170" s="126" t="s">
        <v>108</v>
      </c>
      <c r="D170" s="94" t="s">
        <v>578</v>
      </c>
      <c r="E170" s="87"/>
      <c r="F170" s="203" t="s">
        <v>164</v>
      </c>
      <c r="G170" s="4"/>
      <c r="H170" s="85"/>
    </row>
    <row r="171" spans="2:10" ht="28.35" customHeight="1">
      <c r="C171" s="93" t="s">
        <v>109</v>
      </c>
      <c r="D171" s="94" t="s">
        <v>579</v>
      </c>
      <c r="E171" s="105"/>
      <c r="F171" s="203" t="s">
        <v>164</v>
      </c>
      <c r="G171" s="4"/>
      <c r="H171" s="85"/>
    </row>
    <row r="172" spans="2:10" ht="13.5">
      <c r="B172" s="85"/>
      <c r="C172" s="85"/>
      <c r="D172" s="95"/>
      <c r="E172" s="95" t="s">
        <v>174</v>
      </c>
      <c r="F172" s="96" t="str">
        <f>IF(F164="Yes",COUNTIF(F166:F171,"Yes") &amp;" of " &amp;COUNTIF(B166:C171,"*"),"-")</f>
        <v>-</v>
      </c>
      <c r="G172" s="97"/>
      <c r="H172" s="85"/>
    </row>
    <row r="173" spans="2:10" ht="6.75" customHeight="1">
      <c r="B173" s="85"/>
      <c r="C173" s="85"/>
      <c r="D173" s="95"/>
      <c r="E173" s="6"/>
      <c r="F173" s="107"/>
      <c r="G173" s="97"/>
      <c r="H173" s="85"/>
    </row>
    <row r="174" spans="2:10" ht="22.35" customHeight="1">
      <c r="B174" s="156"/>
      <c r="C174" s="157" t="s">
        <v>580</v>
      </c>
      <c r="D174" s="157"/>
      <c r="E174" s="158" t="str">
        <f>IF(Tabulations!E58=1, MAX(Tabulations!V58:AA58), 0) &amp;" of"</f>
        <v>0 of</v>
      </c>
      <c r="F174" s="157" t="str">
        <f>Tabulations!S58&amp;" Points"</f>
        <v>12 Points</v>
      </c>
      <c r="G174" s="159"/>
      <c r="H174" s="75"/>
      <c r="J174" s="69"/>
    </row>
    <row r="175" spans="2:10" ht="24" customHeight="1">
      <c r="B175" s="160"/>
      <c r="C175" s="270" t="s">
        <v>581</v>
      </c>
      <c r="D175" s="271"/>
      <c r="E175" s="271"/>
      <c r="F175" s="271"/>
      <c r="G175" s="161"/>
      <c r="H175" s="78"/>
      <c r="J175" s="69"/>
    </row>
    <row r="176" spans="2:10" ht="24" customHeight="1">
      <c r="B176" s="162"/>
      <c r="C176" s="273" t="s">
        <v>582</v>
      </c>
      <c r="D176" s="274"/>
      <c r="E176" s="274"/>
      <c r="F176" s="274"/>
      <c r="G176" s="163"/>
      <c r="H176" s="78"/>
    </row>
    <row r="177" spans="2:10" ht="28.35" customHeight="1">
      <c r="B177" s="162"/>
      <c r="C177" s="275" t="s">
        <v>583</v>
      </c>
      <c r="D177" s="274"/>
      <c r="E177" s="274"/>
      <c r="F177" s="274"/>
      <c r="G177" s="163"/>
      <c r="H177" s="78"/>
    </row>
    <row r="178" spans="2:10" ht="18" customHeight="1">
      <c r="B178" s="164"/>
      <c r="C178" s="276"/>
      <c r="D178" s="277"/>
      <c r="E178" s="165"/>
      <c r="F178" s="166" t="s">
        <v>103</v>
      </c>
      <c r="G178" s="167"/>
      <c r="H178" s="78"/>
    </row>
    <row r="179" spans="2:10" ht="24" customHeight="1">
      <c r="B179" s="85"/>
      <c r="C179" s="86"/>
      <c r="D179" s="86" t="s">
        <v>163</v>
      </c>
      <c r="E179" s="86"/>
      <c r="F179" s="204" t="s">
        <v>164</v>
      </c>
      <c r="G179" s="1"/>
      <c r="H179" s="85"/>
    </row>
    <row r="180" spans="2:10" ht="20.100000000000001" customHeight="1">
      <c r="B180" s="168"/>
      <c r="C180" s="278" t="s">
        <v>165</v>
      </c>
      <c r="D180" s="279"/>
      <c r="E180" s="172"/>
      <c r="F180" s="170" t="s">
        <v>166</v>
      </c>
      <c r="G180" s="171"/>
      <c r="H180" s="78"/>
    </row>
    <row r="181" spans="2:10" ht="29.1" customHeight="1">
      <c r="C181" s="126" t="s">
        <v>105</v>
      </c>
      <c r="D181" s="127" t="s">
        <v>584</v>
      </c>
      <c r="E181" s="128"/>
      <c r="F181" s="203" t="s">
        <v>164</v>
      </c>
      <c r="G181" s="7"/>
      <c r="H181" s="85"/>
    </row>
    <row r="182" spans="2:10" ht="28.35" customHeight="1">
      <c r="C182" s="126" t="s">
        <v>106</v>
      </c>
      <c r="D182" s="94" t="s">
        <v>585</v>
      </c>
      <c r="E182" s="87"/>
      <c r="F182" s="203" t="s">
        <v>164</v>
      </c>
      <c r="G182" s="4"/>
      <c r="H182" s="85"/>
    </row>
    <row r="183" spans="2:10" ht="28.35" customHeight="1">
      <c r="C183" s="126" t="s">
        <v>107</v>
      </c>
      <c r="D183" s="94" t="s">
        <v>586</v>
      </c>
      <c r="E183" s="87"/>
      <c r="F183" s="203" t="s">
        <v>164</v>
      </c>
      <c r="G183" s="4"/>
      <c r="H183" s="85"/>
    </row>
    <row r="184" spans="2:10" ht="28.35" customHeight="1">
      <c r="C184" s="126" t="s">
        <v>108</v>
      </c>
      <c r="D184" s="94" t="s">
        <v>587</v>
      </c>
      <c r="E184" s="87"/>
      <c r="F184" s="203" t="s">
        <v>164</v>
      </c>
      <c r="G184" s="4"/>
      <c r="H184" s="85"/>
    </row>
    <row r="185" spans="2:10" ht="28.35" customHeight="1">
      <c r="C185" s="126" t="s">
        <v>109</v>
      </c>
      <c r="D185" s="94" t="s">
        <v>588</v>
      </c>
      <c r="E185" s="87"/>
      <c r="F185" s="203" t="s">
        <v>164</v>
      </c>
      <c r="G185" s="4"/>
      <c r="H185" s="85"/>
    </row>
    <row r="186" spans="2:10" ht="28.35" customHeight="1">
      <c r="C186" s="126" t="s">
        <v>110</v>
      </c>
      <c r="D186" s="94" t="s">
        <v>589</v>
      </c>
      <c r="E186" s="87"/>
      <c r="F186" s="203" t="s">
        <v>164</v>
      </c>
      <c r="G186" s="4"/>
      <c r="H186" s="85"/>
    </row>
    <row r="187" spans="2:10" ht="16.350000000000001" customHeight="1">
      <c r="B187" s="85"/>
      <c r="C187" s="85"/>
      <c r="D187" s="95"/>
      <c r="E187" s="95" t="s">
        <v>174</v>
      </c>
      <c r="F187" s="96" t="str">
        <f>IF(F179="Yes",COUNTIF(F181:F186,"Yes") &amp;" of " &amp;COUNTIF(B181:C186,"*"),"-")</f>
        <v>-</v>
      </c>
      <c r="G187" s="97"/>
      <c r="H187" s="85"/>
    </row>
    <row r="188" spans="2:10" ht="6.75" customHeight="1">
      <c r="B188" s="85"/>
      <c r="C188" s="85"/>
      <c r="D188" s="95"/>
      <c r="E188" s="6"/>
      <c r="F188" s="107"/>
      <c r="G188" s="97"/>
      <c r="H188" s="85"/>
    </row>
    <row r="189" spans="2:10" ht="22.35" customHeight="1">
      <c r="B189" s="156"/>
      <c r="C189" s="157" t="s">
        <v>590</v>
      </c>
      <c r="D189" s="157"/>
      <c r="E189" s="158" t="str">
        <f>IF(Tabulations!E59=1, MAX(Tabulations!V59:AA59), 0) &amp;" of"</f>
        <v>0 of</v>
      </c>
      <c r="F189" s="157" t="str">
        <f>Tabulations!S59&amp;" Points"</f>
        <v>8 Points</v>
      </c>
      <c r="G189" s="159"/>
      <c r="H189" s="75"/>
      <c r="J189" s="69"/>
    </row>
    <row r="190" spans="2:10" ht="27.6" customHeight="1">
      <c r="B190" s="160"/>
      <c r="C190" s="270" t="s">
        <v>591</v>
      </c>
      <c r="D190" s="271"/>
      <c r="E190" s="271"/>
      <c r="F190" s="271"/>
      <c r="G190" s="161"/>
      <c r="H190" s="78"/>
      <c r="J190" s="69"/>
    </row>
    <row r="191" spans="2:10" ht="27.6" customHeight="1">
      <c r="B191" s="162"/>
      <c r="C191" s="273" t="s">
        <v>592</v>
      </c>
      <c r="D191" s="274"/>
      <c r="E191" s="274"/>
      <c r="F191" s="274"/>
      <c r="G191" s="163"/>
      <c r="H191" s="78"/>
    </row>
    <row r="192" spans="2:10" ht="27.6" customHeight="1">
      <c r="B192" s="162"/>
      <c r="C192" s="275" t="s">
        <v>593</v>
      </c>
      <c r="D192" s="274"/>
      <c r="E192" s="274"/>
      <c r="F192" s="274"/>
      <c r="G192" s="163"/>
      <c r="H192" s="78"/>
    </row>
    <row r="193" spans="2:8" ht="18" customHeight="1">
      <c r="B193" s="164"/>
      <c r="C193" s="276"/>
      <c r="D193" s="277"/>
      <c r="E193" s="165"/>
      <c r="F193" s="166" t="s">
        <v>103</v>
      </c>
      <c r="G193" s="167"/>
      <c r="H193" s="78"/>
    </row>
    <row r="194" spans="2:8" ht="29.1" customHeight="1">
      <c r="B194" s="85"/>
      <c r="C194" s="86"/>
      <c r="D194" s="86" t="s">
        <v>163</v>
      </c>
      <c r="E194" s="86"/>
      <c r="F194" s="204" t="s">
        <v>164</v>
      </c>
      <c r="G194" s="1"/>
      <c r="H194" s="85"/>
    </row>
    <row r="195" spans="2:8" ht="20.100000000000001" customHeight="1">
      <c r="B195" s="168"/>
      <c r="C195" s="278" t="s">
        <v>165</v>
      </c>
      <c r="D195" s="279"/>
      <c r="E195" s="172"/>
      <c r="F195" s="170" t="s">
        <v>166</v>
      </c>
      <c r="G195" s="171"/>
      <c r="H195" s="78"/>
    </row>
    <row r="196" spans="2:8" ht="29.1" customHeight="1">
      <c r="C196" s="126" t="s">
        <v>105</v>
      </c>
      <c r="D196" s="127" t="s">
        <v>594</v>
      </c>
      <c r="E196" s="173"/>
      <c r="F196" s="203" t="s">
        <v>7</v>
      </c>
      <c r="G196" s="7"/>
      <c r="H196" s="85"/>
    </row>
    <row r="197" spans="2:8" ht="29.1" customHeight="1">
      <c r="C197" s="126" t="s">
        <v>106</v>
      </c>
      <c r="D197" s="94" t="s">
        <v>595</v>
      </c>
      <c r="E197" s="173"/>
      <c r="F197" s="203" t="s">
        <v>7</v>
      </c>
      <c r="G197" s="7"/>
      <c r="H197" s="85"/>
    </row>
    <row r="198" spans="2:8" ht="29.1" customHeight="1">
      <c r="C198" s="126" t="s">
        <v>107</v>
      </c>
      <c r="D198" s="127" t="s">
        <v>596</v>
      </c>
      <c r="E198" s="128">
        <f>IF(D199=lookup!S81,lookup!T81,IF(D199=lookup!S82,lookup!T82,2))</f>
        <v>2</v>
      </c>
      <c r="F198" s="129" t="str">
        <f>IF(F194="-","-",IF(D199="none","No","Yes"))</f>
        <v>-</v>
      </c>
      <c r="G198" s="7"/>
      <c r="H198" s="85"/>
    </row>
    <row r="199" spans="2:8" ht="50.1" customHeight="1">
      <c r="C199" s="93"/>
      <c r="D199" s="201" t="s">
        <v>204</v>
      </c>
      <c r="E199" s="88"/>
      <c r="F199" s="105"/>
      <c r="G199" s="4"/>
      <c r="H199" s="85"/>
    </row>
    <row r="200" spans="2:8" ht="29.1" customHeight="1">
      <c r="C200" s="93" t="s">
        <v>108</v>
      </c>
      <c r="D200" s="94" t="s">
        <v>597</v>
      </c>
      <c r="E200" s="87"/>
      <c r="F200" s="200" t="s">
        <v>7</v>
      </c>
      <c r="G200" s="4"/>
      <c r="H200" s="85"/>
    </row>
    <row r="201" spans="2:8" ht="13.5">
      <c r="B201" s="85"/>
      <c r="C201" s="85"/>
      <c r="D201" s="95"/>
      <c r="E201" s="95" t="s">
        <v>174</v>
      </c>
      <c r="F201" s="96" t="str">
        <f>IF(F194="Yes",COUNTIF(F196:F200,"Yes") &amp;" of " &amp;COUNTIF(B196:C200,"*"),"-")</f>
        <v>-</v>
      </c>
      <c r="G201" s="97"/>
      <c r="H201" s="85"/>
    </row>
    <row r="202" spans="2:8" ht="6.75" customHeight="1">
      <c r="B202" s="85"/>
      <c r="C202" s="85"/>
      <c r="D202" s="95"/>
      <c r="E202" s="6"/>
      <c r="F202" s="107"/>
      <c r="G202" s="97"/>
      <c r="H202" s="85"/>
    </row>
  </sheetData>
  <sheetProtection sheet="1" objects="1" scenarios="1"/>
  <mergeCells count="68">
    <mergeCell ref="C195:D195"/>
    <mergeCell ref="C63:F63"/>
    <mergeCell ref="C123:F123"/>
    <mergeCell ref="C178:D178"/>
    <mergeCell ref="C180:D180"/>
    <mergeCell ref="C190:F190"/>
    <mergeCell ref="C191:F191"/>
    <mergeCell ref="C192:F192"/>
    <mergeCell ref="C193:D193"/>
    <mergeCell ref="C162:F162"/>
    <mergeCell ref="C163:D163"/>
    <mergeCell ref="C165:D165"/>
    <mergeCell ref="C175:F175"/>
    <mergeCell ref="C176:F176"/>
    <mergeCell ref="C177:F177"/>
    <mergeCell ref="C144:F144"/>
    <mergeCell ref="C145:F145"/>
    <mergeCell ref="C146:D146"/>
    <mergeCell ref="C148:D148"/>
    <mergeCell ref="C160:F160"/>
    <mergeCell ref="C161:F161"/>
    <mergeCell ref="C143:F143"/>
    <mergeCell ref="C101:D101"/>
    <mergeCell ref="C110:F110"/>
    <mergeCell ref="C111:F111"/>
    <mergeCell ref="C112:F112"/>
    <mergeCell ref="C113:D113"/>
    <mergeCell ref="C115:D115"/>
    <mergeCell ref="C127:F127"/>
    <mergeCell ref="C128:F128"/>
    <mergeCell ref="C129:F129"/>
    <mergeCell ref="C130:D130"/>
    <mergeCell ref="C132:D132"/>
    <mergeCell ref="C99:D99"/>
    <mergeCell ref="C69:D69"/>
    <mergeCell ref="C71:D71"/>
    <mergeCell ref="C81:F81"/>
    <mergeCell ref="C82:F82"/>
    <mergeCell ref="C83:F83"/>
    <mergeCell ref="C84:D84"/>
    <mergeCell ref="C86:D86"/>
    <mergeCell ref="C96:F96"/>
    <mergeCell ref="C97:F97"/>
    <mergeCell ref="C98:F98"/>
    <mergeCell ref="C68:F68"/>
    <mergeCell ref="C38:F38"/>
    <mergeCell ref="C39:F39"/>
    <mergeCell ref="C40:D40"/>
    <mergeCell ref="C42:D42"/>
    <mergeCell ref="C52:F52"/>
    <mergeCell ref="C53:F53"/>
    <mergeCell ref="C54:F54"/>
    <mergeCell ref="C55:D55"/>
    <mergeCell ref="C57:D57"/>
    <mergeCell ref="C66:F66"/>
    <mergeCell ref="C67:F67"/>
    <mergeCell ref="C37:F37"/>
    <mergeCell ref="C3:F3"/>
    <mergeCell ref="C6:F6"/>
    <mergeCell ref="C7:F7"/>
    <mergeCell ref="C8:F8"/>
    <mergeCell ref="C9:D9"/>
    <mergeCell ref="C11:D11"/>
    <mergeCell ref="C22:F22"/>
    <mergeCell ref="C23:F23"/>
    <mergeCell ref="C24:F24"/>
    <mergeCell ref="C25:D25"/>
    <mergeCell ref="C27:D27"/>
  </mergeCells>
  <phoneticPr fontId="8" type="noConversion"/>
  <pageMargins left="0.5" right="0.5" top="0.75" bottom="0.75" header="0.3" footer="0"/>
  <pageSetup scale="91" orientation="portrait" r:id="rId1"/>
  <headerFooter differentFirst="1">
    <oddHeader>&amp;C&amp;"Open Sans Regular,Bold"&amp;9Envision Framework_x000D_Pre-Assessment Checklist</oddHeader>
    <firstHeader>&amp;C&amp;"-,Bold"&amp;8Envision Rating System
Pre-Assessment Checklist</firstHeader>
  </headerFooter>
  <rowBreaks count="6" manualBreakCount="6">
    <brk id="20" min="1" max="6" man="1"/>
    <brk id="62" min="1" max="6" man="1"/>
    <brk id="79" min="1" max="6" man="1"/>
    <brk id="122" min="1" max="6" man="1"/>
    <brk id="141" min="1" max="6" man="1"/>
    <brk id="158"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Group Box 1">
              <controlPr defaultSize="0" autoFill="0" autoPict="0">
                <anchor moveWithCells="1">
                  <from>
                    <xdr:col>4</xdr:col>
                    <xdr:colOff>0</xdr:colOff>
                    <xdr:row>9</xdr:row>
                    <xdr:rowOff>0</xdr:rowOff>
                  </from>
                  <to>
                    <xdr:col>9</xdr:col>
                    <xdr:colOff>142875</xdr:colOff>
                    <xdr:row>10</xdr:row>
                    <xdr:rowOff>0</xdr:rowOff>
                  </to>
                </anchor>
              </controlPr>
            </control>
          </mc:Choice>
        </mc:AlternateContent>
        <mc:AlternateContent xmlns:mc="http://schemas.openxmlformats.org/markup-compatibility/2006">
          <mc:Choice Requires="x14">
            <control shapeId="17410" r:id="rId5" name="Group Box 2">
              <controlPr defaultSize="0" autoFill="0" autoPict="0">
                <anchor moveWithCells="1">
                  <from>
                    <xdr:col>5</xdr:col>
                    <xdr:colOff>0</xdr:colOff>
                    <xdr:row>9</xdr:row>
                    <xdr:rowOff>0</xdr:rowOff>
                  </from>
                  <to>
                    <xdr:col>10</xdr:col>
                    <xdr:colOff>219075</xdr:colOff>
                    <xdr:row>10</xdr:row>
                    <xdr:rowOff>0</xdr:rowOff>
                  </to>
                </anchor>
              </controlPr>
            </control>
          </mc:Choice>
        </mc:AlternateContent>
        <mc:AlternateContent xmlns:mc="http://schemas.openxmlformats.org/markup-compatibility/2006">
          <mc:Choice Requires="x14">
            <control shapeId="17411" r:id="rId6" name="Group Box 3">
              <controlPr defaultSize="0" autoFill="0" autoPict="0">
                <anchor moveWithCells="1">
                  <from>
                    <xdr:col>5</xdr:col>
                    <xdr:colOff>0</xdr:colOff>
                    <xdr:row>9</xdr:row>
                    <xdr:rowOff>0</xdr:rowOff>
                  </from>
                  <to>
                    <xdr:col>10</xdr:col>
                    <xdr:colOff>219075</xdr:colOff>
                    <xdr:row>10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B1B57A40-55D9-4342-92E7-04435FCA5453}">
            <xm:f>Tabulations!$E$47=2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B11:G11</xm:sqref>
        </x14:conditionalFormatting>
        <x14:conditionalFormatting xmlns:xm="http://schemas.microsoft.com/office/excel/2006/main">
          <x14:cfRule type="expression" priority="51" id="{B9127BCB-C23C-49ED-9803-5E8F2C1E051C}">
            <xm:f>Tabulations!$E$47=2</xm:f>
            <x14:dxf>
              <font>
                <color theme="0" tint="-0.249977111117893"/>
              </font>
              <fill>
                <patternFill patternType="solid">
                  <fgColor indexed="64"/>
                  <bgColor theme="0" tint="-0.14999847407452621"/>
                </patternFill>
              </fill>
            </x14:dxf>
          </x14:cfRule>
          <xm:sqref>B12:G18</xm:sqref>
        </x14:conditionalFormatting>
        <x14:conditionalFormatting xmlns:xm="http://schemas.microsoft.com/office/excel/2006/main">
          <x14:cfRule type="expression" priority="67" id="{0E34A44E-C611-4053-BBE8-D9E3CB366721}">
            <xm:f>Tabulations!$E$48=2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B27:G27</xm:sqref>
        </x14:conditionalFormatting>
        <x14:conditionalFormatting xmlns:xm="http://schemas.microsoft.com/office/excel/2006/main">
          <x14:cfRule type="expression" priority="5" id="{6D6A3F63-4449-4C5D-9ED3-5FEC9BB023AA}">
            <xm:f>Tabulations!$E$48=2</xm:f>
            <x14:dxf>
              <font>
                <color theme="0" tint="-0.249977111117893"/>
              </font>
              <fill>
                <patternFill patternType="solid">
                  <fgColor indexed="64"/>
                  <bgColor theme="0" tint="-0.14999847407452621"/>
                </patternFill>
              </fill>
            </x14:dxf>
          </x14:cfRule>
          <xm:sqref>B28:G33</xm:sqref>
        </x14:conditionalFormatting>
        <x14:conditionalFormatting xmlns:xm="http://schemas.microsoft.com/office/excel/2006/main">
          <x14:cfRule type="expression" priority="65" id="{50900906-FABB-4806-A30D-07555EB806D1}">
            <xm:f>Tabulations!$E$49=2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B42:G42</xm:sqref>
        </x14:conditionalFormatting>
        <x14:conditionalFormatting xmlns:xm="http://schemas.microsoft.com/office/excel/2006/main">
          <x14:cfRule type="expression" priority="4" id="{483742C1-E687-44A9-A6EE-37ED61E4C686}">
            <xm:f>Tabulations!$E$49=2</xm:f>
            <x14:dxf>
              <font>
                <color theme="0" tint="-0.249977111117893"/>
              </font>
              <fill>
                <patternFill patternType="solid">
                  <fgColor indexed="64"/>
                  <bgColor theme="0" tint="-0.14999847407452621"/>
                </patternFill>
              </fill>
            </x14:dxf>
          </x14:cfRule>
          <xm:sqref>B43:G48</xm:sqref>
        </x14:conditionalFormatting>
        <x14:conditionalFormatting xmlns:xm="http://schemas.microsoft.com/office/excel/2006/main">
          <x14:cfRule type="expression" priority="64" id="{1122BA22-F5EC-4B03-92EF-07156CE4AF21}">
            <xm:f>Tabulations!$E$50=2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B57:G57</xm:sqref>
        </x14:conditionalFormatting>
        <x14:conditionalFormatting xmlns:xm="http://schemas.microsoft.com/office/excel/2006/main">
          <x14:cfRule type="expression" priority="1" id="{6C6E5250-CCE5-4C30-93DF-922634C00EED}">
            <xm:f>Tabulations!$E$50=2</xm:f>
            <x14:dxf>
              <font>
                <color theme="0" tint="-0.249977111117893"/>
              </font>
              <fill>
                <patternFill patternType="solid">
                  <fgColor indexed="64"/>
                  <bgColor theme="0" tint="-0.14999847407452621"/>
                </patternFill>
              </fill>
            </x14:dxf>
          </x14:cfRule>
          <xm:sqref>B58:G60</xm:sqref>
        </x14:conditionalFormatting>
        <x14:conditionalFormatting xmlns:xm="http://schemas.microsoft.com/office/excel/2006/main">
          <x14:cfRule type="expression" priority="63" id="{2A097EC8-E9E1-4527-B0AF-507670F24EA5}">
            <xm:f>Tabulations!$E$51=2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B71:G71</xm:sqref>
        </x14:conditionalFormatting>
        <x14:conditionalFormatting xmlns:xm="http://schemas.microsoft.com/office/excel/2006/main">
          <x14:cfRule type="expression" priority="48" id="{7A87EEDE-021F-40EF-ABB7-88EFB5C777CE}">
            <xm:f>Tabulations!$E$51=2</xm:f>
            <x14:dxf>
              <font>
                <color theme="0" tint="-0.249977111117893"/>
              </font>
              <fill>
                <patternFill patternType="solid">
                  <fgColor indexed="64"/>
                  <bgColor theme="0" tint="-0.14999847407452621"/>
                </patternFill>
              </fill>
            </x14:dxf>
          </x14:cfRule>
          <xm:sqref>B72:G76</xm:sqref>
        </x14:conditionalFormatting>
        <x14:conditionalFormatting xmlns:xm="http://schemas.microsoft.com/office/excel/2006/main">
          <x14:cfRule type="expression" priority="62" id="{62CED834-B745-4F8F-8B1F-BBE49C7E3D25}">
            <xm:f>Tabulations!$E$52=2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B86:G86</xm:sqref>
        </x14:conditionalFormatting>
        <x14:conditionalFormatting xmlns:xm="http://schemas.microsoft.com/office/excel/2006/main">
          <x14:cfRule type="expression" priority="47" id="{BEEE3D42-B09B-41D0-927C-9361731B32B1}">
            <xm:f>Tabulations!$E$52=2</xm:f>
            <x14:dxf>
              <font>
                <color theme="0" tint="-0.249977111117893"/>
              </font>
              <fill>
                <patternFill patternType="solid">
                  <fgColor indexed="64"/>
                  <bgColor theme="0" tint="-0.14999847407452621"/>
                </patternFill>
              </fill>
            </x14:dxf>
          </x14:cfRule>
          <xm:sqref>B87:G92</xm:sqref>
        </x14:conditionalFormatting>
        <x14:conditionalFormatting xmlns:xm="http://schemas.microsoft.com/office/excel/2006/main">
          <x14:cfRule type="expression" priority="61" id="{F716BF09-D053-4AF5-B4F0-9651CD47E05D}">
            <xm:f>Tabulations!$E$53=2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B101:G101</xm:sqref>
        </x14:conditionalFormatting>
        <x14:conditionalFormatting xmlns:xm="http://schemas.microsoft.com/office/excel/2006/main">
          <x14:cfRule type="expression" priority="23" id="{6F3829A4-F9BD-4BC8-B869-0EFAF25562A4}">
            <xm:f>Tabulations!$E$53=2</xm:f>
            <x14:dxf>
              <font>
                <color theme="0" tint="-0.249977111117893"/>
              </font>
              <fill>
                <patternFill patternType="solid">
                  <fgColor indexed="64"/>
                  <bgColor theme="0" tint="-0.14999847407452621"/>
                </patternFill>
              </fill>
            </x14:dxf>
          </x14:cfRule>
          <xm:sqref>B102:G106</xm:sqref>
        </x14:conditionalFormatting>
        <x14:conditionalFormatting xmlns:xm="http://schemas.microsoft.com/office/excel/2006/main">
          <x14:cfRule type="expression" priority="60" id="{04AD2D22-66BD-4138-AC46-B10196E50C76}">
            <xm:f>Tabulations!$E$54=2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B115:G115</xm:sqref>
        </x14:conditionalFormatting>
        <x14:conditionalFormatting xmlns:xm="http://schemas.microsoft.com/office/excel/2006/main">
          <x14:cfRule type="expression" priority="22" id="{8C97FF54-0A13-4413-B185-CDC2712CB6E0}">
            <xm:f>Tabulations!$E$54=2</xm:f>
            <x14:dxf>
              <font>
                <color theme="0" tint="-0.249977111117893"/>
              </font>
              <fill>
                <patternFill patternType="solid">
                  <fgColor indexed="64"/>
                  <bgColor theme="0" tint="-0.14999847407452621"/>
                </patternFill>
              </fill>
            </x14:dxf>
          </x14:cfRule>
          <xm:sqref>B116:G121</xm:sqref>
        </x14:conditionalFormatting>
        <x14:conditionalFormatting xmlns:xm="http://schemas.microsoft.com/office/excel/2006/main">
          <x14:cfRule type="expression" priority="58" id="{151B6EAC-293B-4BB4-AF71-0B18FBD711E1}">
            <xm:f>Tabulations!$E$55=2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B132:G132</xm:sqref>
        </x14:conditionalFormatting>
        <x14:conditionalFormatting xmlns:xm="http://schemas.microsoft.com/office/excel/2006/main">
          <x14:cfRule type="expression" priority="18" id="{FB2EA1D9-FA79-4EB7-AFD1-B5E1A1438DCE}">
            <xm:f>Tabulations!$E$55=2</xm:f>
            <x14:dxf>
              <font>
                <color theme="0" tint="-0.249977111117893"/>
              </font>
              <fill>
                <patternFill patternType="solid">
                  <fgColor indexed="64"/>
                  <bgColor theme="0" tint="-0.14999847407452621"/>
                </patternFill>
              </fill>
            </x14:dxf>
          </x14:cfRule>
          <xm:sqref>B133:G139</xm:sqref>
        </x14:conditionalFormatting>
        <x14:conditionalFormatting xmlns:xm="http://schemas.microsoft.com/office/excel/2006/main">
          <x14:cfRule type="expression" priority="57" id="{6DE2F0CE-1C90-4A6F-865E-FEA65F08D349}">
            <xm:f>Tabulations!$E$56=2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B148:G148</xm:sqref>
        </x14:conditionalFormatting>
        <x14:conditionalFormatting xmlns:xm="http://schemas.microsoft.com/office/excel/2006/main">
          <x14:cfRule type="expression" priority="12" id="{F7F9112A-8E88-4FD7-B271-97D56F3A260A}">
            <xm:f>Tabulations!$E$56=2</xm:f>
            <x14:dxf>
              <font>
                <color theme="0" tint="-0.249977111117893"/>
              </font>
              <fill>
                <patternFill patternType="solid">
                  <fgColor indexed="64"/>
                  <bgColor theme="0" tint="-0.14999847407452621"/>
                </patternFill>
              </fill>
            </x14:dxf>
          </x14:cfRule>
          <xm:sqref>B149:G156</xm:sqref>
        </x14:conditionalFormatting>
        <x14:conditionalFormatting xmlns:xm="http://schemas.microsoft.com/office/excel/2006/main">
          <x14:cfRule type="expression" priority="55" id="{448B82E4-60D4-40D3-94C5-5B63AD29471C}">
            <xm:f>Tabulations!$E$57=2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B165:G165</xm:sqref>
        </x14:conditionalFormatting>
        <x14:conditionalFormatting xmlns:xm="http://schemas.microsoft.com/office/excel/2006/main">
          <x14:cfRule type="expression" priority="45" id="{688519C7-EED3-437A-BC15-31196126E7FB}">
            <xm:f>Tabulations!$E$57=2</xm:f>
            <x14:dxf>
              <font>
                <color theme="0" tint="-0.249977111117893"/>
              </font>
              <fill>
                <patternFill patternType="solid">
                  <fgColor indexed="64"/>
                  <bgColor theme="0" tint="-0.14999847407452621"/>
                </patternFill>
              </fill>
            </x14:dxf>
          </x14:cfRule>
          <xm:sqref>B166:G171</xm:sqref>
        </x14:conditionalFormatting>
        <x14:conditionalFormatting xmlns:xm="http://schemas.microsoft.com/office/excel/2006/main">
          <x14:cfRule type="expression" priority="54" id="{1C2D44BB-0DC3-4286-A5CE-097756CC99AB}">
            <xm:f>Tabulations!$E$58=2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B180:G180</xm:sqref>
        </x14:conditionalFormatting>
        <x14:conditionalFormatting xmlns:xm="http://schemas.microsoft.com/office/excel/2006/main">
          <x14:cfRule type="expression" priority="44" id="{5A4A2DB2-9F1A-40D4-8146-2E937E43F558}">
            <xm:f>Tabulations!$E$58=2</xm:f>
            <x14:dxf>
              <font>
                <color theme="0" tint="-0.249977111117893"/>
              </font>
              <fill>
                <patternFill patternType="solid">
                  <fgColor indexed="64"/>
                  <bgColor theme="0" tint="-0.14999847407452621"/>
                </patternFill>
              </fill>
            </x14:dxf>
          </x14:cfRule>
          <xm:sqref>B181:G186</xm:sqref>
        </x14:conditionalFormatting>
        <x14:conditionalFormatting xmlns:xm="http://schemas.microsoft.com/office/excel/2006/main">
          <x14:cfRule type="expression" priority="53" id="{E76979B5-F686-4ACE-BEF3-DC078E2306B7}">
            <xm:f>Tabulations!$E$59=2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B195:G195</xm:sqref>
        </x14:conditionalFormatting>
        <x14:conditionalFormatting xmlns:xm="http://schemas.microsoft.com/office/excel/2006/main">
          <x14:cfRule type="expression" priority="7" id="{D60BA684-7B77-4CC4-8C90-FA7AEDE63756}">
            <xm:f>Tabulations!$E$59=2</xm:f>
            <x14:dxf>
              <font>
                <color theme="0" tint="-0.249977111117893"/>
              </font>
              <fill>
                <patternFill patternType="solid">
                  <fgColor indexed="64"/>
                  <bgColor theme="0" tint="-0.14999847407452621"/>
                </patternFill>
              </fill>
            </x14:dxf>
          </x14:cfRule>
          <xm:sqref>B196:G200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600-000000000000}">
          <x14:formula1>
            <xm:f>lookup!$S$80:$S$82</xm:f>
          </x14:formula1>
          <xm:sqref>D199</xm:sqref>
        </x14:dataValidation>
        <x14:dataValidation type="list" allowBlank="1" showInputMessage="1" showErrorMessage="1" xr:uid="{00000000-0002-0000-0600-000001000000}">
          <x14:formula1>
            <xm:f>lookup!$S$72:$S$77</xm:f>
          </x14:formula1>
          <xm:sqref>D168</xm:sqref>
        </x14:dataValidation>
        <x14:dataValidation type="list" allowBlank="1" showInputMessage="1" showErrorMessage="1" xr:uid="{00000000-0002-0000-0600-000002000000}">
          <x14:formula1>
            <xm:f>lookup!$S$57:$S$59</xm:f>
          </x14:formula1>
          <xm:sqref>D135</xm:sqref>
        </x14:dataValidation>
        <x14:dataValidation type="list" allowBlank="1" showInputMessage="1" showErrorMessage="1" xr:uid="{00000000-0002-0000-0600-000003000000}">
          <x14:formula1>
            <xm:f>lookup!$S$51:$S$54</xm:f>
          </x14:formula1>
          <xm:sqref>D105</xm:sqref>
        </x14:dataValidation>
        <x14:dataValidation type="list" allowBlank="1" showInputMessage="1" showErrorMessage="1" xr:uid="{00000000-0002-0000-0600-000004000000}">
          <x14:formula1>
            <xm:f>lookup!$S$43:$S$48</xm:f>
          </x14:formula1>
          <xm:sqref>D90</xm:sqref>
        </x14:dataValidation>
        <x14:dataValidation type="list" allowBlank="1" showInputMessage="1" showErrorMessage="1" xr:uid="{00000000-0002-0000-0600-000005000000}">
          <x14:formula1>
            <xm:f>lookup!$S$29:$S$33</xm:f>
          </x14:formula1>
          <xm:sqref>D75</xm:sqref>
        </x14:dataValidation>
        <x14:dataValidation type="list" allowBlank="1" showInputMessage="1" showErrorMessage="1" xr:uid="{00000000-0002-0000-0600-000006000000}">
          <x14:formula1>
            <xm:f>lookup!$S$16:$S$19</xm:f>
          </x14:formula1>
          <xm:sqref>D45</xm:sqref>
        </x14:dataValidation>
        <x14:dataValidation type="list" allowBlank="1" showInputMessage="1" showErrorMessage="1" xr:uid="{00000000-0002-0000-0600-000007000000}">
          <x14:formula1>
            <xm:f>lookup!$S$4:$S$6</xm:f>
          </x14:formula1>
          <xm:sqref>D14</xm:sqref>
        </x14:dataValidation>
        <x14:dataValidation type="list" allowBlank="1" showInputMessage="1" showErrorMessage="1" xr:uid="{00000000-0002-0000-0600-000008000000}">
          <x14:formula1>
            <xm:f>lookup!$B$3:$B$5</xm:f>
          </x14:formula1>
          <xm:sqref>F10 F26 F12 F41 F56 F169:F171 F70 F60 F85 F100 F43 F114 F91:F92 F131 F76 F147 F194 F164 F152:F156 F179 F166 F149 F200 F15:F18 F28:F29 F32:F33 F46:F48 F72:F73 F102:F103 F106 F116:F121 F133 F136:F139 F181:F186 F196:F197</xm:sqref>
        </x14:dataValidation>
        <x14:dataValidation type="list" allowBlank="1" showInputMessage="1" showErrorMessage="1" xr:uid="{00000000-0002-0000-0600-000009000000}">
          <x14:formula1>
            <xm:f>lookup!$S$22:$S$26</xm:f>
          </x14:formula1>
          <xm:sqref>D59</xm:sqref>
        </x14:dataValidation>
        <x14:dataValidation type="list" allowBlank="1" showInputMessage="1" showErrorMessage="1" xr:uid="{00000000-0002-0000-0600-00000A000000}">
          <x14:formula1>
            <xm:f>lookup!$S$36:$S$41</xm:f>
          </x14:formula1>
          <xm:sqref>D88</xm:sqref>
        </x14:dataValidation>
        <x14:dataValidation type="list" allowBlank="1" showInputMessage="1" showErrorMessage="1" xr:uid="{00000000-0002-0000-0600-00000B000000}">
          <x14:formula1>
            <xm:f>lookup!$S$67:$S$69</xm:f>
          </x14:formula1>
          <xm:sqref>D151</xm:sqref>
        </x14:dataValidation>
        <x14:dataValidation type="list" allowBlank="1" showInputMessage="1" showErrorMessage="1" xr:uid="{00000000-0002-0000-0600-00000C000000}">
          <x14:formula1>
            <xm:f>lookup!$S$9:$S$13</xm:f>
          </x14:formula1>
          <xm:sqref>D31</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93C9"/>
  </sheetPr>
  <dimension ref="B1:J146"/>
  <sheetViews>
    <sheetView showGridLines="0" view="pageBreakPreview" zoomScaleNormal="85" zoomScaleSheetLayoutView="100" workbookViewId="0">
      <selection activeCell="F10" sqref="F10"/>
    </sheetView>
  </sheetViews>
  <sheetFormatPr defaultColWidth="4.125" defaultRowHeight="15.75"/>
  <cols>
    <col min="1" max="1" width="1.625" style="57" customWidth="1"/>
    <col min="2" max="2" width="1.125" style="57" customWidth="1"/>
    <col min="3" max="3" width="3.125" style="57" customWidth="1"/>
    <col min="4" max="4" width="61" style="57" customWidth="1"/>
    <col min="5" max="5" width="8.625" style="59" customWidth="1"/>
    <col min="6" max="6" width="12.125" style="60" customWidth="1"/>
    <col min="7" max="7" width="2.625" style="61" customWidth="1"/>
    <col min="8" max="9" width="4.125" style="57"/>
    <col min="10" max="10" width="7.625" style="57" bestFit="1" customWidth="1"/>
    <col min="11" max="16384" width="4.125" style="57"/>
  </cols>
  <sheetData>
    <row r="1" spans="2:10" ht="42" customHeight="1">
      <c r="D1" s="174" t="s">
        <v>598</v>
      </c>
    </row>
    <row r="2" spans="2:10" s="66" customFormat="1" ht="13.35" customHeight="1">
      <c r="B2" s="62"/>
      <c r="C2" s="62"/>
      <c r="D2" s="62"/>
      <c r="E2" s="62"/>
      <c r="F2" s="63"/>
      <c r="G2" s="64"/>
      <c r="H2" s="65"/>
    </row>
    <row r="3" spans="2:10" s="69" customFormat="1" ht="18" customHeight="1">
      <c r="B3" s="67"/>
      <c r="C3" s="284" t="s">
        <v>599</v>
      </c>
      <c r="D3" s="284"/>
      <c r="E3" s="284"/>
      <c r="F3" s="284"/>
      <c r="G3" s="64"/>
      <c r="H3" s="68"/>
    </row>
    <row r="4" spans="2:10" s="69" customFormat="1" ht="7.35" customHeight="1">
      <c r="B4" s="67"/>
      <c r="C4" s="70"/>
      <c r="D4" s="70"/>
      <c r="E4" s="70"/>
      <c r="F4" s="71"/>
      <c r="G4" s="64"/>
      <c r="H4" s="68"/>
    </row>
    <row r="5" spans="2:10" ht="22.35" customHeight="1">
      <c r="B5" s="175"/>
      <c r="C5" s="176" t="s">
        <v>600</v>
      </c>
      <c r="D5" s="176"/>
      <c r="E5" s="177" t="str">
        <f>IF(Tabulations!E62=1, MAX(Tabulations!V62:AA62), 0) &amp;" of"</f>
        <v>0 of</v>
      </c>
      <c r="F5" s="176" t="str">
        <f>Tabulations!S62&amp;" Points"</f>
        <v>20 Points</v>
      </c>
      <c r="G5" s="178"/>
      <c r="H5" s="75"/>
      <c r="J5" s="69"/>
    </row>
    <row r="6" spans="2:10" ht="29.1" customHeight="1">
      <c r="B6" s="179"/>
      <c r="C6" s="285" t="s">
        <v>601</v>
      </c>
      <c r="D6" s="286"/>
      <c r="E6" s="286"/>
      <c r="F6" s="286"/>
      <c r="G6" s="180"/>
      <c r="H6" s="78"/>
      <c r="J6" s="69"/>
    </row>
    <row r="7" spans="2:10" ht="29.1" customHeight="1">
      <c r="B7" s="181"/>
      <c r="C7" s="287" t="s">
        <v>602</v>
      </c>
      <c r="D7" s="288"/>
      <c r="E7" s="288"/>
      <c r="F7" s="288"/>
      <c r="G7" s="182"/>
      <c r="H7" s="78"/>
    </row>
    <row r="8" spans="2:10" ht="29.1" customHeight="1">
      <c r="B8" s="181"/>
      <c r="C8" s="289" t="s">
        <v>398</v>
      </c>
      <c r="D8" s="288"/>
      <c r="E8" s="288"/>
      <c r="F8" s="288"/>
      <c r="G8" s="182"/>
      <c r="H8" s="78"/>
    </row>
    <row r="9" spans="2:10" ht="18" customHeight="1">
      <c r="B9" s="183"/>
      <c r="C9" s="290"/>
      <c r="D9" s="291"/>
      <c r="E9" s="184"/>
      <c r="F9" s="185" t="s">
        <v>103</v>
      </c>
      <c r="G9" s="186"/>
      <c r="H9" s="78"/>
    </row>
    <row r="10" spans="2:10" ht="28.5" customHeight="1">
      <c r="B10" s="85"/>
      <c r="C10" s="86"/>
      <c r="D10" s="86" t="s">
        <v>163</v>
      </c>
      <c r="E10" s="121"/>
      <c r="F10" s="202" t="s">
        <v>164</v>
      </c>
      <c r="G10" s="1"/>
      <c r="H10" s="85"/>
    </row>
    <row r="11" spans="2:10" ht="20.100000000000001" customHeight="1">
      <c r="B11" s="187"/>
      <c r="C11" s="282" t="s">
        <v>165</v>
      </c>
      <c r="D11" s="283"/>
      <c r="E11" s="188"/>
      <c r="F11" s="189" t="s">
        <v>166</v>
      </c>
      <c r="G11" s="190"/>
      <c r="H11" s="78"/>
    </row>
    <row r="12" spans="2:10" ht="28.35" customHeight="1">
      <c r="C12" s="126" t="s">
        <v>105</v>
      </c>
      <c r="D12" s="127" t="s">
        <v>603</v>
      </c>
      <c r="E12" s="128"/>
      <c r="F12" s="203" t="s">
        <v>164</v>
      </c>
      <c r="G12" s="7"/>
      <c r="H12" s="85"/>
    </row>
    <row r="13" spans="2:10" ht="28.35" customHeight="1">
      <c r="C13" s="126" t="s">
        <v>106</v>
      </c>
      <c r="D13" s="94" t="s">
        <v>604</v>
      </c>
      <c r="E13" s="128"/>
      <c r="F13" s="203" t="s">
        <v>164</v>
      </c>
      <c r="G13" s="7"/>
      <c r="H13" s="85"/>
    </row>
    <row r="14" spans="2:10" ht="29.1" customHeight="1">
      <c r="C14" s="93" t="s">
        <v>107</v>
      </c>
      <c r="D14" s="94" t="s">
        <v>605</v>
      </c>
      <c r="E14" s="87">
        <f>VLOOKUP(D15,lookup!X4:Y8,2,FALSE)</f>
        <v>2</v>
      </c>
      <c r="F14" s="88" t="str">
        <f>IF(F10="-","-",IF(D15="none","No","Yes"))</f>
        <v>-</v>
      </c>
      <c r="G14" s="4"/>
      <c r="H14" s="85"/>
    </row>
    <row r="15" spans="2:10" ht="28.35" customHeight="1">
      <c r="C15" s="93"/>
      <c r="D15" s="201" t="s">
        <v>204</v>
      </c>
      <c r="E15" s="149"/>
      <c r="F15" s="105"/>
      <c r="G15" s="4"/>
      <c r="H15" s="85"/>
    </row>
    <row r="16" spans="2:10" ht="18" customHeight="1">
      <c r="B16" s="85"/>
      <c r="C16" s="85"/>
      <c r="D16" s="95"/>
      <c r="E16" s="95" t="s">
        <v>174</v>
      </c>
      <c r="F16" s="96" t="str">
        <f>IF(F10="Yes",COUNTIF(F12:F15,"Yes") &amp;" of " &amp;COUNTIF(B12:C15,"*"),"-")</f>
        <v>-</v>
      </c>
      <c r="G16" s="97"/>
      <c r="H16" s="85"/>
    </row>
    <row r="17" spans="2:10" ht="7.35" customHeight="1">
      <c r="B17" s="85"/>
      <c r="C17" s="85"/>
      <c r="D17" s="98"/>
      <c r="E17" s="99"/>
      <c r="F17" s="100"/>
      <c r="G17" s="101"/>
      <c r="H17" s="85"/>
    </row>
    <row r="18" spans="2:10" ht="22.35" customHeight="1">
      <c r="B18" s="175"/>
      <c r="C18" s="176" t="s">
        <v>606</v>
      </c>
      <c r="D18" s="176"/>
      <c r="E18" s="177" t="str">
        <f>IF(Tabulations!E63=1, MAX(Tabulations!V63:AA63), 0) &amp;" of"</f>
        <v>0 of</v>
      </c>
      <c r="F18" s="176" t="str">
        <f>Tabulations!S63&amp;" Points"</f>
        <v>26 Points</v>
      </c>
      <c r="G18" s="178"/>
      <c r="H18" s="75"/>
      <c r="J18" s="69"/>
    </row>
    <row r="19" spans="2:10" ht="29.1" customHeight="1">
      <c r="B19" s="179"/>
      <c r="C19" s="285" t="s">
        <v>607</v>
      </c>
      <c r="D19" s="286"/>
      <c r="E19" s="286"/>
      <c r="F19" s="286"/>
      <c r="G19" s="180"/>
      <c r="H19" s="78"/>
      <c r="J19" s="69"/>
    </row>
    <row r="20" spans="2:10" ht="29.1" customHeight="1">
      <c r="B20" s="181"/>
      <c r="C20" s="287" t="s">
        <v>608</v>
      </c>
      <c r="D20" s="288"/>
      <c r="E20" s="288"/>
      <c r="F20" s="288"/>
      <c r="G20" s="182"/>
      <c r="H20" s="78"/>
    </row>
    <row r="21" spans="2:10" ht="50.1" customHeight="1">
      <c r="B21" s="181"/>
      <c r="C21" s="289" t="s">
        <v>609</v>
      </c>
      <c r="D21" s="288"/>
      <c r="E21" s="288"/>
      <c r="F21" s="288"/>
      <c r="G21" s="182"/>
      <c r="H21" s="78"/>
    </row>
    <row r="22" spans="2:10" ht="18" customHeight="1">
      <c r="B22" s="183"/>
      <c r="C22" s="290"/>
      <c r="D22" s="291"/>
      <c r="E22" s="184"/>
      <c r="F22" s="185" t="s">
        <v>103</v>
      </c>
      <c r="G22" s="186"/>
      <c r="H22" s="78"/>
    </row>
    <row r="23" spans="2:10" ht="29.1" customHeight="1">
      <c r="B23" s="85"/>
      <c r="C23" s="86"/>
      <c r="D23" s="86" t="s">
        <v>163</v>
      </c>
      <c r="E23" s="103"/>
      <c r="F23" s="204" t="s">
        <v>164</v>
      </c>
      <c r="G23" s="1"/>
      <c r="H23" s="85"/>
    </row>
    <row r="24" spans="2:10" ht="20.100000000000001" customHeight="1">
      <c r="B24" s="187"/>
      <c r="C24" s="282" t="s">
        <v>165</v>
      </c>
      <c r="D24" s="283"/>
      <c r="E24" s="191"/>
      <c r="F24" s="189" t="s">
        <v>166</v>
      </c>
      <c r="G24" s="190"/>
      <c r="H24" s="78"/>
    </row>
    <row r="25" spans="2:10" ht="29.1" customHeight="1">
      <c r="C25" s="93" t="s">
        <v>105</v>
      </c>
      <c r="D25" s="94" t="s">
        <v>610</v>
      </c>
      <c r="E25" s="87">
        <f>VLOOKUP(D26,lookup!X11:Y16,2,FALSE)</f>
        <v>2</v>
      </c>
      <c r="F25" s="129" t="str">
        <f>IF(F23="-","-",IF(D26="none","No","Yes"))</f>
        <v>-</v>
      </c>
      <c r="G25" s="4"/>
      <c r="H25" s="85"/>
    </row>
    <row r="26" spans="2:10" ht="48.6" customHeight="1">
      <c r="C26" s="93"/>
      <c r="D26" s="205" t="s">
        <v>204</v>
      </c>
      <c r="E26" s="87"/>
      <c r="F26" s="129"/>
      <c r="G26" s="4"/>
      <c r="H26" s="85"/>
    </row>
    <row r="27" spans="2:10" ht="29.1" customHeight="1">
      <c r="C27" s="93" t="s">
        <v>106</v>
      </c>
      <c r="D27" s="94" t="s">
        <v>611</v>
      </c>
      <c r="E27" s="87"/>
      <c r="F27" s="203" t="s">
        <v>164</v>
      </c>
      <c r="G27" s="4"/>
      <c r="H27" s="85"/>
    </row>
    <row r="28" spans="2:10" ht="18" customHeight="1">
      <c r="B28" s="85"/>
      <c r="C28" s="85"/>
      <c r="D28" s="95"/>
      <c r="E28" s="95" t="s">
        <v>174</v>
      </c>
      <c r="F28" s="96" t="str">
        <f>IF(F23="Yes",COUNTIF(F25:F27,"Yes") &amp;" of " &amp;COUNTIF(B25:C27,"*"),"-")</f>
        <v>-</v>
      </c>
      <c r="G28" s="97"/>
      <c r="H28" s="85"/>
    </row>
    <row r="29" spans="2:10" ht="7.35" customHeight="1">
      <c r="B29" s="85"/>
      <c r="C29" s="85"/>
      <c r="D29" s="98"/>
      <c r="E29" s="99"/>
      <c r="F29" s="100" t="s">
        <v>185</v>
      </c>
      <c r="G29" s="101"/>
      <c r="H29" s="85"/>
    </row>
    <row r="30" spans="2:10" ht="22.35" customHeight="1">
      <c r="B30" s="175"/>
      <c r="C30" s="176" t="s">
        <v>612</v>
      </c>
      <c r="D30" s="176"/>
      <c r="E30" s="177" t="str">
        <f>IF(Tabulations!E64=1, MAX(Tabulations!V64:AA64), 0) &amp;" of"</f>
        <v>0 of</v>
      </c>
      <c r="F30" s="176" t="str">
        <f>Tabulations!S64&amp;" Points"</f>
        <v>18 Points</v>
      </c>
      <c r="G30" s="178"/>
      <c r="H30" s="75"/>
      <c r="J30" s="69"/>
    </row>
    <row r="31" spans="2:10" ht="40.35" customHeight="1">
      <c r="B31" s="179"/>
      <c r="C31" s="285" t="s">
        <v>613</v>
      </c>
      <c r="D31" s="286"/>
      <c r="E31" s="286"/>
      <c r="F31" s="286"/>
      <c r="G31" s="180"/>
      <c r="H31" s="78"/>
      <c r="J31" s="69"/>
    </row>
    <row r="32" spans="2:10" ht="24" customHeight="1">
      <c r="B32" s="181"/>
      <c r="C32" s="287" t="s">
        <v>614</v>
      </c>
      <c r="D32" s="288"/>
      <c r="E32" s="288"/>
      <c r="F32" s="288"/>
      <c r="G32" s="182"/>
      <c r="H32" s="78"/>
    </row>
    <row r="33" spans="2:10" ht="55.35" customHeight="1">
      <c r="B33" s="181"/>
      <c r="C33" s="289" t="s">
        <v>615</v>
      </c>
      <c r="D33" s="288"/>
      <c r="E33" s="288"/>
      <c r="F33" s="288"/>
      <c r="G33" s="182"/>
      <c r="H33" s="78"/>
    </row>
    <row r="34" spans="2:10" ht="18" customHeight="1">
      <c r="B34" s="183"/>
      <c r="C34" s="290"/>
      <c r="D34" s="291"/>
      <c r="E34" s="184"/>
      <c r="F34" s="185" t="s">
        <v>103</v>
      </c>
      <c r="G34" s="186"/>
      <c r="H34" s="78"/>
    </row>
    <row r="35" spans="2:10" ht="29.1" customHeight="1">
      <c r="B35" s="85"/>
      <c r="C35" s="86"/>
      <c r="D35" s="86" t="s">
        <v>163</v>
      </c>
      <c r="E35" s="103"/>
      <c r="F35" s="204" t="s">
        <v>164</v>
      </c>
      <c r="G35" s="1"/>
      <c r="H35" s="85"/>
    </row>
    <row r="36" spans="2:10" ht="20.100000000000001" customHeight="1">
      <c r="B36" s="187"/>
      <c r="C36" s="282" t="s">
        <v>165</v>
      </c>
      <c r="D36" s="283"/>
      <c r="E36" s="191"/>
      <c r="F36" s="189" t="s">
        <v>166</v>
      </c>
      <c r="G36" s="190"/>
      <c r="H36" s="78"/>
    </row>
    <row r="37" spans="2:10" ht="29.1" customHeight="1">
      <c r="C37" s="126" t="s">
        <v>105</v>
      </c>
      <c r="D37" s="127" t="s">
        <v>616</v>
      </c>
      <c r="E37" s="128"/>
      <c r="F37" s="203" t="s">
        <v>164</v>
      </c>
      <c r="G37" s="7"/>
      <c r="H37" s="85"/>
    </row>
    <row r="38" spans="2:10" ht="29.1" customHeight="1">
      <c r="C38" s="93" t="s">
        <v>106</v>
      </c>
      <c r="D38" s="94" t="s">
        <v>617</v>
      </c>
      <c r="E38" s="87">
        <f>VLOOKUP(D39,lookup!X19:Y23,2,FALSE)</f>
        <v>2</v>
      </c>
      <c r="F38" s="129" t="str">
        <f>IF(F35="-","-",IF(D39="none","No","Yes"))</f>
        <v>-</v>
      </c>
      <c r="G38" s="4"/>
      <c r="H38" s="85"/>
    </row>
    <row r="39" spans="2:10" ht="29.1" customHeight="1">
      <c r="C39" s="93"/>
      <c r="D39" s="201" t="s">
        <v>204</v>
      </c>
      <c r="E39" s="87"/>
      <c r="F39" s="129"/>
      <c r="G39" s="4"/>
      <c r="H39" s="85"/>
    </row>
    <row r="40" spans="2:10" ht="29.1" customHeight="1">
      <c r="C40" s="93" t="s">
        <v>107</v>
      </c>
      <c r="D40" s="94" t="s">
        <v>618</v>
      </c>
      <c r="E40" s="87"/>
      <c r="F40" s="203" t="s">
        <v>164</v>
      </c>
      <c r="G40" s="4"/>
      <c r="H40" s="85"/>
    </row>
    <row r="41" spans="2:10" ht="29.1" customHeight="1">
      <c r="C41" s="93" t="s">
        <v>108</v>
      </c>
      <c r="D41" s="94" t="s">
        <v>619</v>
      </c>
      <c r="E41" s="87"/>
      <c r="F41" s="203" t="s">
        <v>164</v>
      </c>
      <c r="G41" s="4"/>
      <c r="H41" s="85"/>
    </row>
    <row r="42" spans="2:10" ht="29.1" customHeight="1">
      <c r="C42" s="93" t="s">
        <v>109</v>
      </c>
      <c r="D42" s="94" t="s">
        <v>620</v>
      </c>
      <c r="E42" s="87"/>
      <c r="F42" s="203" t="s">
        <v>164</v>
      </c>
      <c r="G42" s="4"/>
      <c r="H42" s="85"/>
    </row>
    <row r="43" spans="2:10" ht="18" customHeight="1">
      <c r="B43" s="85"/>
      <c r="C43" s="85"/>
      <c r="D43" s="95"/>
      <c r="E43" s="95" t="s">
        <v>174</v>
      </c>
      <c r="F43" s="96" t="str">
        <f>IF(F35="Yes",COUNTIF(F37:F42,"Yes") &amp;" of " &amp;COUNTIF(B37:C42,"*"),"-")</f>
        <v>-</v>
      </c>
      <c r="G43" s="97"/>
      <c r="H43" s="85"/>
    </row>
    <row r="44" spans="2:10" s="69" customFormat="1" ht="18" customHeight="1">
      <c r="B44" s="67"/>
      <c r="C44" s="284" t="s">
        <v>621</v>
      </c>
      <c r="D44" s="284"/>
      <c r="E44" s="284"/>
      <c r="F44" s="284"/>
      <c r="G44" s="64"/>
      <c r="H44" s="68"/>
    </row>
    <row r="45" spans="2:10" ht="7.35" customHeight="1">
      <c r="B45" s="85"/>
      <c r="C45" s="85"/>
      <c r="D45" s="98"/>
      <c r="E45" s="99"/>
      <c r="F45" s="100"/>
      <c r="G45" s="101"/>
      <c r="H45" s="85"/>
    </row>
    <row r="46" spans="2:10" ht="22.35" customHeight="1">
      <c r="B46" s="175"/>
      <c r="C46" s="176" t="s">
        <v>622</v>
      </c>
      <c r="D46" s="176"/>
      <c r="E46" s="177" t="str">
        <f>IF(Tabulations!E65=1, MAX(Tabulations!V65:AA65), 0) &amp;" of"</f>
        <v>0 of</v>
      </c>
      <c r="F46" s="176" t="str">
        <f>Tabulations!S65&amp;" Points"</f>
        <v>16 Points</v>
      </c>
      <c r="G46" s="178"/>
      <c r="H46" s="75"/>
      <c r="J46" s="69"/>
    </row>
    <row r="47" spans="2:10" ht="28.35" customHeight="1">
      <c r="B47" s="179"/>
      <c r="C47" s="285" t="s">
        <v>623</v>
      </c>
      <c r="D47" s="286"/>
      <c r="E47" s="286"/>
      <c r="F47" s="286"/>
      <c r="G47" s="180"/>
      <c r="H47" s="78"/>
      <c r="J47" s="69"/>
    </row>
    <row r="48" spans="2:10" ht="28.35" customHeight="1">
      <c r="B48" s="181"/>
      <c r="C48" s="287" t="s">
        <v>624</v>
      </c>
      <c r="D48" s="288"/>
      <c r="E48" s="288"/>
      <c r="F48" s="288"/>
      <c r="G48" s="182"/>
      <c r="H48" s="78"/>
    </row>
    <row r="49" spans="2:10" ht="28.35" customHeight="1">
      <c r="B49" s="181"/>
      <c r="C49" s="289" t="s">
        <v>625</v>
      </c>
      <c r="D49" s="288"/>
      <c r="E49" s="288"/>
      <c r="F49" s="288"/>
      <c r="G49" s="182"/>
      <c r="H49" s="78"/>
    </row>
    <row r="50" spans="2:10" ht="18" customHeight="1">
      <c r="B50" s="183"/>
      <c r="C50" s="290"/>
      <c r="D50" s="291"/>
      <c r="E50" s="184"/>
      <c r="F50" s="185" t="s">
        <v>103</v>
      </c>
      <c r="G50" s="186"/>
      <c r="H50" s="78"/>
    </row>
    <row r="51" spans="2:10" ht="29.1" customHeight="1">
      <c r="B51" s="85"/>
      <c r="C51" s="86"/>
      <c r="D51" s="86" t="s">
        <v>163</v>
      </c>
      <c r="E51" s="103"/>
      <c r="F51" s="204" t="s">
        <v>164</v>
      </c>
      <c r="G51" s="1"/>
      <c r="H51" s="85"/>
    </row>
    <row r="52" spans="2:10" ht="20.100000000000001" customHeight="1">
      <c r="B52" s="187"/>
      <c r="C52" s="282" t="s">
        <v>165</v>
      </c>
      <c r="D52" s="283"/>
      <c r="E52" s="191"/>
      <c r="F52" s="189" t="s">
        <v>166</v>
      </c>
      <c r="G52" s="190"/>
      <c r="H52" s="78"/>
    </row>
    <row r="53" spans="2:10" ht="29.1" customHeight="1">
      <c r="C53" s="93" t="s">
        <v>105</v>
      </c>
      <c r="D53" s="94" t="s">
        <v>626</v>
      </c>
      <c r="E53" s="87"/>
      <c r="F53" s="203" t="s">
        <v>164</v>
      </c>
      <c r="G53" s="4"/>
      <c r="H53" s="85"/>
    </row>
    <row r="54" spans="2:10" ht="29.1" customHeight="1">
      <c r="C54" s="93" t="s">
        <v>106</v>
      </c>
      <c r="D54" s="94" t="s">
        <v>627</v>
      </c>
      <c r="E54" s="87"/>
      <c r="F54" s="203" t="s">
        <v>164</v>
      </c>
      <c r="G54" s="4"/>
      <c r="H54" s="85"/>
    </row>
    <row r="55" spans="2:10" ht="29.1" customHeight="1">
      <c r="C55" s="93" t="s">
        <v>107</v>
      </c>
      <c r="D55" s="94" t="s">
        <v>628</v>
      </c>
      <c r="E55" s="87"/>
      <c r="F55" s="203" t="s">
        <v>164</v>
      </c>
      <c r="G55" s="4"/>
      <c r="H55" s="85"/>
    </row>
    <row r="56" spans="2:10" ht="29.1" customHeight="1">
      <c r="C56" s="93" t="s">
        <v>108</v>
      </c>
      <c r="D56" s="94" t="s">
        <v>629</v>
      </c>
      <c r="E56" s="87"/>
      <c r="F56" s="203" t="s">
        <v>164</v>
      </c>
      <c r="G56" s="4"/>
      <c r="H56" s="85"/>
    </row>
    <row r="57" spans="2:10" ht="29.1" customHeight="1">
      <c r="C57" s="93" t="s">
        <v>109</v>
      </c>
      <c r="D57" s="94" t="s">
        <v>630</v>
      </c>
      <c r="E57" s="87"/>
      <c r="F57" s="203" t="s">
        <v>164</v>
      </c>
      <c r="G57" s="4"/>
      <c r="H57" s="85"/>
    </row>
    <row r="58" spans="2:10" ht="29.1" customHeight="1">
      <c r="C58" s="93" t="s">
        <v>110</v>
      </c>
      <c r="D58" s="94" t="s">
        <v>631</v>
      </c>
      <c r="E58" s="87"/>
      <c r="F58" s="203" t="s">
        <v>164</v>
      </c>
      <c r="G58" s="4"/>
      <c r="H58" s="85"/>
    </row>
    <row r="59" spans="2:10" ht="18" customHeight="1">
      <c r="B59" s="85"/>
      <c r="C59" s="85"/>
      <c r="D59" s="95"/>
      <c r="E59" s="95" t="s">
        <v>174</v>
      </c>
      <c r="F59" s="96" t="str">
        <f>IF(F51="Yes",COUNTIF(F53:F58,"Yes") &amp;" of " &amp;COUNTIF(B53:C58,"*"),"-")</f>
        <v>-</v>
      </c>
      <c r="G59" s="97"/>
      <c r="H59" s="85"/>
    </row>
    <row r="60" spans="2:10" ht="7.35" customHeight="1">
      <c r="B60" s="85"/>
      <c r="C60" s="85"/>
      <c r="D60" s="98"/>
      <c r="E60" s="99"/>
      <c r="F60" s="100"/>
      <c r="G60" s="101"/>
      <c r="H60" s="85"/>
    </row>
    <row r="61" spans="2:10" ht="22.35" customHeight="1">
      <c r="B61" s="175"/>
      <c r="C61" s="176" t="s">
        <v>632</v>
      </c>
      <c r="D61" s="176"/>
      <c r="E61" s="177" t="str">
        <f>IF(Tabulations!E66=1, MAX(Tabulations!V66:AA66), 0) &amp;" of"</f>
        <v>0 of</v>
      </c>
      <c r="F61" s="176" t="str">
        <f>Tabulations!S66&amp;" Points"</f>
        <v>20 Points</v>
      </c>
      <c r="G61" s="178"/>
      <c r="H61" s="75"/>
      <c r="J61" s="69"/>
    </row>
    <row r="62" spans="2:10" ht="28.35" customHeight="1">
      <c r="B62" s="179"/>
      <c r="C62" s="285" t="s">
        <v>633</v>
      </c>
      <c r="D62" s="286"/>
      <c r="E62" s="286"/>
      <c r="F62" s="286"/>
      <c r="G62" s="180"/>
      <c r="H62" s="78"/>
      <c r="J62" s="69"/>
    </row>
    <row r="63" spans="2:10" ht="24" customHeight="1">
      <c r="B63" s="181"/>
      <c r="C63" s="287" t="s">
        <v>634</v>
      </c>
      <c r="D63" s="288"/>
      <c r="E63" s="288"/>
      <c r="F63" s="288"/>
      <c r="G63" s="182"/>
      <c r="H63" s="78"/>
    </row>
    <row r="64" spans="2:10" ht="24" customHeight="1">
      <c r="B64" s="181"/>
      <c r="C64" s="289" t="s">
        <v>635</v>
      </c>
      <c r="D64" s="288"/>
      <c r="E64" s="288"/>
      <c r="F64" s="288"/>
      <c r="G64" s="182"/>
      <c r="H64" s="78"/>
    </row>
    <row r="65" spans="2:10" ht="18" customHeight="1">
      <c r="B65" s="183"/>
      <c r="C65" s="290"/>
      <c r="D65" s="291"/>
      <c r="E65" s="184"/>
      <c r="F65" s="185" t="s">
        <v>103</v>
      </c>
      <c r="G65" s="186"/>
      <c r="H65" s="78"/>
    </row>
    <row r="66" spans="2:10" ht="29.1" customHeight="1">
      <c r="B66" s="85"/>
      <c r="C66" s="86"/>
      <c r="D66" s="86" t="s">
        <v>163</v>
      </c>
      <c r="E66" s="86"/>
      <c r="F66" s="204" t="s">
        <v>164</v>
      </c>
      <c r="G66" s="1"/>
      <c r="H66" s="85"/>
    </row>
    <row r="67" spans="2:10" ht="20.100000000000001" customHeight="1">
      <c r="B67" s="187"/>
      <c r="C67" s="282" t="s">
        <v>165</v>
      </c>
      <c r="D67" s="283"/>
      <c r="E67" s="191"/>
      <c r="F67" s="189" t="s">
        <v>166</v>
      </c>
      <c r="G67" s="190"/>
      <c r="H67" s="78"/>
    </row>
    <row r="68" spans="2:10" ht="28.35" customHeight="1">
      <c r="C68" s="126" t="s">
        <v>105</v>
      </c>
      <c r="D68" s="127" t="s">
        <v>636</v>
      </c>
      <c r="E68" s="128"/>
      <c r="F68" s="202" t="s">
        <v>164</v>
      </c>
      <c r="G68" s="7"/>
      <c r="H68" s="85"/>
    </row>
    <row r="69" spans="2:10" ht="28.35" customHeight="1">
      <c r="C69" s="93" t="s">
        <v>106</v>
      </c>
      <c r="D69" s="94" t="s">
        <v>637</v>
      </c>
      <c r="E69" s="149"/>
      <c r="F69" s="200" t="s">
        <v>164</v>
      </c>
      <c r="G69" s="4"/>
      <c r="H69" s="85"/>
    </row>
    <row r="70" spans="2:10" ht="28.35" customHeight="1">
      <c r="C70" s="126" t="s">
        <v>107</v>
      </c>
      <c r="D70" s="127" t="s">
        <v>638</v>
      </c>
      <c r="E70" s="128"/>
      <c r="F70" s="202" t="s">
        <v>164</v>
      </c>
      <c r="G70" s="7"/>
      <c r="H70" s="85"/>
    </row>
    <row r="71" spans="2:10" ht="28.35" customHeight="1">
      <c r="C71" s="93" t="s">
        <v>108</v>
      </c>
      <c r="D71" s="94" t="s">
        <v>639</v>
      </c>
      <c r="E71" s="149"/>
      <c r="F71" s="200" t="s">
        <v>164</v>
      </c>
      <c r="G71" s="4"/>
      <c r="H71" s="85"/>
    </row>
    <row r="72" spans="2:10" ht="28.35" customHeight="1">
      <c r="C72" s="93" t="s">
        <v>109</v>
      </c>
      <c r="D72" s="94" t="s">
        <v>640</v>
      </c>
      <c r="E72" s="149"/>
      <c r="F72" s="200" t="s">
        <v>164</v>
      </c>
      <c r="G72" s="4"/>
      <c r="H72" s="85"/>
    </row>
    <row r="73" spans="2:10" ht="18" customHeight="1">
      <c r="B73" s="85"/>
      <c r="C73" s="85"/>
      <c r="D73" s="95"/>
      <c r="E73" s="95" t="s">
        <v>174</v>
      </c>
      <c r="F73" s="96" t="str">
        <f>IF(F66="Yes",COUNTIF(F68:F72,"Yes") &amp;" of " &amp;COUNTIF(B68:C72,"*"),"-")</f>
        <v>-</v>
      </c>
      <c r="G73" s="97"/>
      <c r="H73" s="85"/>
    </row>
    <row r="74" spans="2:10" ht="7.5" customHeight="1">
      <c r="B74" s="85"/>
      <c r="C74" s="85"/>
      <c r="D74" s="95"/>
      <c r="E74" s="95"/>
      <c r="F74" s="96"/>
      <c r="G74" s="97"/>
      <c r="H74" s="85"/>
    </row>
    <row r="75" spans="2:10" ht="6.75" customHeight="1">
      <c r="B75" s="85"/>
      <c r="C75" s="85"/>
      <c r="D75" s="95"/>
      <c r="E75" s="6"/>
      <c r="F75" s="107"/>
      <c r="G75" s="97"/>
      <c r="H75" s="85"/>
    </row>
    <row r="76" spans="2:10" ht="22.35" customHeight="1">
      <c r="B76" s="175"/>
      <c r="C76" s="176" t="s">
        <v>641</v>
      </c>
      <c r="D76" s="176"/>
      <c r="E76" s="177" t="str">
        <f>IF(Tabulations!E67=1, MAX(Tabulations!V67:AA67), 0) &amp;" of"</f>
        <v>0 of</v>
      </c>
      <c r="F76" s="176" t="str">
        <f>Tabulations!S67&amp;" Points"</f>
        <v>26 Points</v>
      </c>
      <c r="G76" s="178"/>
      <c r="H76" s="75"/>
      <c r="J76" s="69"/>
    </row>
    <row r="77" spans="2:10" ht="24" customHeight="1">
      <c r="B77" s="179"/>
      <c r="C77" s="285" t="s">
        <v>642</v>
      </c>
      <c r="D77" s="286"/>
      <c r="E77" s="286"/>
      <c r="F77" s="286"/>
      <c r="G77" s="180"/>
      <c r="H77" s="78"/>
      <c r="J77" s="69"/>
    </row>
    <row r="78" spans="2:10" ht="24" customHeight="1">
      <c r="B78" s="181"/>
      <c r="C78" s="287" t="s">
        <v>643</v>
      </c>
      <c r="D78" s="288"/>
      <c r="E78" s="288"/>
      <c r="F78" s="288"/>
      <c r="G78" s="182"/>
      <c r="H78" s="78"/>
    </row>
    <row r="79" spans="2:10" ht="55.35" customHeight="1">
      <c r="B79" s="181"/>
      <c r="C79" s="289" t="s">
        <v>644</v>
      </c>
      <c r="D79" s="288"/>
      <c r="E79" s="288"/>
      <c r="F79" s="288"/>
      <c r="G79" s="182"/>
      <c r="H79" s="78"/>
    </row>
    <row r="80" spans="2:10" ht="18" customHeight="1">
      <c r="B80" s="183"/>
      <c r="C80" s="290"/>
      <c r="D80" s="291"/>
      <c r="E80" s="184"/>
      <c r="F80" s="185" t="s">
        <v>103</v>
      </c>
      <c r="G80" s="186"/>
      <c r="H80" s="78"/>
    </row>
    <row r="81" spans="2:10" ht="29.1" customHeight="1">
      <c r="B81" s="85"/>
      <c r="C81" s="86"/>
      <c r="D81" s="86" t="s">
        <v>163</v>
      </c>
      <c r="E81" s="86"/>
      <c r="F81" s="204" t="s">
        <v>164</v>
      </c>
      <c r="G81" s="1"/>
      <c r="H81" s="85"/>
    </row>
    <row r="82" spans="2:10" ht="20.100000000000001" customHeight="1">
      <c r="B82" s="187"/>
      <c r="C82" s="282" t="s">
        <v>165</v>
      </c>
      <c r="D82" s="283"/>
      <c r="E82" s="191"/>
      <c r="F82" s="189" t="s">
        <v>166</v>
      </c>
      <c r="G82" s="190"/>
      <c r="H82" s="78"/>
    </row>
    <row r="83" spans="2:10" ht="28.35" customHeight="1">
      <c r="C83" s="126" t="s">
        <v>105</v>
      </c>
      <c r="D83" s="127" t="s">
        <v>645</v>
      </c>
      <c r="E83" s="192">
        <f>VLOOKUP(D84,lookup!X26:Y29,2,FALSE)</f>
        <v>2</v>
      </c>
      <c r="F83" s="129" t="str">
        <f>IF(F81="-","-",IF(D84="none","No","Yes"))</f>
        <v>-</v>
      </c>
      <c r="G83" s="7"/>
      <c r="H83" s="85"/>
    </row>
    <row r="84" spans="2:10" ht="38.85" customHeight="1">
      <c r="C84" s="93"/>
      <c r="D84" s="201" t="s">
        <v>204</v>
      </c>
      <c r="E84" s="149"/>
      <c r="F84" s="105"/>
      <c r="G84" s="4"/>
      <c r="H84" s="85"/>
    </row>
    <row r="85" spans="2:10" ht="28.35" customHeight="1">
      <c r="C85" s="126" t="s">
        <v>106</v>
      </c>
      <c r="D85" s="127" t="s">
        <v>646</v>
      </c>
      <c r="E85" s="128"/>
      <c r="F85" s="203" t="s">
        <v>164</v>
      </c>
      <c r="G85" s="7"/>
      <c r="H85" s="85"/>
    </row>
    <row r="86" spans="2:10" ht="28.35" customHeight="1">
      <c r="C86" s="126" t="s">
        <v>107</v>
      </c>
      <c r="D86" s="127" t="s">
        <v>647</v>
      </c>
      <c r="E86" s="128"/>
      <c r="F86" s="203" t="s">
        <v>164</v>
      </c>
      <c r="G86" s="7"/>
      <c r="H86" s="85"/>
    </row>
    <row r="87" spans="2:10" ht="28.35" customHeight="1">
      <c r="C87" s="126" t="s">
        <v>108</v>
      </c>
      <c r="D87" s="127" t="s">
        <v>648</v>
      </c>
      <c r="E87" s="128"/>
      <c r="F87" s="203" t="s">
        <v>164</v>
      </c>
      <c r="G87" s="7"/>
      <c r="H87" s="85"/>
    </row>
    <row r="88" spans="2:10" ht="28.35" customHeight="1">
      <c r="C88" s="126" t="s">
        <v>109</v>
      </c>
      <c r="D88" s="127" t="s">
        <v>649</v>
      </c>
      <c r="E88" s="128"/>
      <c r="F88" s="203" t="s">
        <v>164</v>
      </c>
      <c r="G88" s="7"/>
      <c r="H88" s="85"/>
    </row>
    <row r="89" spans="2:10" ht="28.35" customHeight="1">
      <c r="C89" s="126" t="s">
        <v>110</v>
      </c>
      <c r="D89" s="127" t="s">
        <v>650</v>
      </c>
      <c r="E89" s="128"/>
      <c r="F89" s="203" t="s">
        <v>164</v>
      </c>
      <c r="G89" s="7"/>
      <c r="H89" s="85"/>
    </row>
    <row r="90" spans="2:10" ht="13.5">
      <c r="B90" s="85"/>
      <c r="C90" s="85"/>
      <c r="D90" s="95"/>
      <c r="E90" s="95" t="s">
        <v>174</v>
      </c>
      <c r="F90" s="96" t="str">
        <f>IF(F81="Yes",COUNTIF(F83:F89,"Yes") &amp;" of " &amp;COUNTIF(B83:C89,"*"),"-")</f>
        <v>-</v>
      </c>
      <c r="G90" s="97"/>
      <c r="H90" s="85"/>
    </row>
    <row r="91" spans="2:10" ht="6.75" customHeight="1">
      <c r="B91" s="85"/>
      <c r="C91" s="85"/>
      <c r="D91" s="95"/>
      <c r="E91" s="6"/>
      <c r="F91" s="107"/>
      <c r="G91" s="97"/>
      <c r="H91" s="85"/>
    </row>
    <row r="92" spans="2:10" ht="22.35" customHeight="1">
      <c r="B92" s="175"/>
      <c r="C92" s="176" t="s">
        <v>651</v>
      </c>
      <c r="D92" s="176"/>
      <c r="E92" s="177" t="str">
        <f>IF(Tabulations!E68=1, MAX(Tabulations!V68:AA68), 0) &amp;" of"</f>
        <v>0 of</v>
      </c>
      <c r="F92" s="176" t="str">
        <f>Tabulations!S68&amp;" Points"</f>
        <v>20 Points</v>
      </c>
      <c r="G92" s="178"/>
      <c r="H92" s="75"/>
      <c r="J92" s="69"/>
    </row>
    <row r="93" spans="2:10" ht="27.6" customHeight="1">
      <c r="B93" s="179"/>
      <c r="C93" s="285" t="s">
        <v>652</v>
      </c>
      <c r="D93" s="286"/>
      <c r="E93" s="286"/>
      <c r="F93" s="286"/>
      <c r="G93" s="180"/>
      <c r="H93" s="78"/>
      <c r="J93" s="69"/>
    </row>
    <row r="94" spans="2:10" ht="27.6" customHeight="1">
      <c r="B94" s="181"/>
      <c r="C94" s="287" t="s">
        <v>653</v>
      </c>
      <c r="D94" s="288"/>
      <c r="E94" s="288"/>
      <c r="F94" s="288"/>
      <c r="G94" s="182"/>
      <c r="H94" s="78"/>
    </row>
    <row r="95" spans="2:10" ht="40.35" customHeight="1">
      <c r="B95" s="181"/>
      <c r="C95" s="289" t="s">
        <v>654</v>
      </c>
      <c r="D95" s="288"/>
      <c r="E95" s="288"/>
      <c r="F95" s="288"/>
      <c r="G95" s="182"/>
      <c r="H95" s="78"/>
    </row>
    <row r="96" spans="2:10" ht="18" customHeight="1">
      <c r="B96" s="183"/>
      <c r="C96" s="290"/>
      <c r="D96" s="291"/>
      <c r="E96" s="184"/>
      <c r="F96" s="185" t="s">
        <v>103</v>
      </c>
      <c r="G96" s="186"/>
      <c r="H96" s="78"/>
    </row>
    <row r="97" spans="2:10" ht="29.1" customHeight="1">
      <c r="B97" s="85"/>
      <c r="C97" s="86"/>
      <c r="D97" s="86" t="s">
        <v>163</v>
      </c>
      <c r="E97" s="86"/>
      <c r="F97" s="204" t="s">
        <v>164</v>
      </c>
      <c r="G97" s="1"/>
      <c r="H97" s="85"/>
    </row>
    <row r="98" spans="2:10" ht="20.100000000000001" customHeight="1">
      <c r="B98" s="187"/>
      <c r="C98" s="282" t="s">
        <v>165</v>
      </c>
      <c r="D98" s="283"/>
      <c r="E98" s="191"/>
      <c r="F98" s="189" t="s">
        <v>166</v>
      </c>
      <c r="G98" s="190"/>
      <c r="H98" s="78"/>
    </row>
    <row r="99" spans="2:10" ht="29.1" customHeight="1">
      <c r="C99" s="126" t="s">
        <v>105</v>
      </c>
      <c r="D99" s="127" t="s">
        <v>655</v>
      </c>
      <c r="E99" s="128"/>
      <c r="F99" s="203" t="s">
        <v>164</v>
      </c>
      <c r="G99" s="7"/>
      <c r="H99" s="85"/>
    </row>
    <row r="100" spans="2:10" ht="29.1" customHeight="1">
      <c r="C100" s="126" t="s">
        <v>106</v>
      </c>
      <c r="D100" s="127" t="s">
        <v>656</v>
      </c>
      <c r="E100" s="128"/>
      <c r="F100" s="203" t="s">
        <v>164</v>
      </c>
      <c r="G100" s="7"/>
      <c r="H100" s="85"/>
    </row>
    <row r="101" spans="2:10" ht="29.1" customHeight="1">
      <c r="C101" s="126" t="s">
        <v>657</v>
      </c>
      <c r="D101" s="127" t="s">
        <v>658</v>
      </c>
      <c r="E101" s="128"/>
      <c r="F101" s="203" t="s">
        <v>164</v>
      </c>
      <c r="G101" s="7"/>
      <c r="H101" s="85"/>
    </row>
    <row r="102" spans="2:10" ht="29.1" customHeight="1">
      <c r="C102" s="126" t="s">
        <v>108</v>
      </c>
      <c r="D102" s="127" t="s">
        <v>659</v>
      </c>
      <c r="E102" s="128"/>
      <c r="F102" s="203" t="s">
        <v>164</v>
      </c>
      <c r="G102" s="7"/>
      <c r="H102" s="85"/>
    </row>
    <row r="103" spans="2:10" ht="13.5">
      <c r="B103" s="85"/>
      <c r="C103" s="85"/>
      <c r="D103" s="95"/>
      <c r="E103" s="95" t="s">
        <v>174</v>
      </c>
      <c r="F103" s="96" t="str">
        <f>IF(F97="Yes",COUNTIF(F99:F102,"Yes") &amp;" of " &amp;COUNTIF(B99:C102,"*"),"-")</f>
        <v>-</v>
      </c>
      <c r="G103" s="97"/>
      <c r="H103" s="85"/>
    </row>
    <row r="104" spans="2:10" ht="6.75" customHeight="1">
      <c r="B104" s="85"/>
      <c r="C104" s="85"/>
      <c r="D104" s="95"/>
      <c r="E104" s="6"/>
      <c r="F104" s="107"/>
      <c r="G104" s="97"/>
      <c r="H104" s="85"/>
    </row>
    <row r="105" spans="2:10" ht="22.35" customHeight="1">
      <c r="B105" s="175"/>
      <c r="C105" s="176" t="s">
        <v>660</v>
      </c>
      <c r="D105" s="176"/>
      <c r="E105" s="177" t="str">
        <f>IF(Tabulations!E69=1, MAX(Tabulations!V69:AA69), 0) &amp;" of"</f>
        <v>0 of</v>
      </c>
      <c r="F105" s="176" t="str">
        <f>Tabulations!S69&amp;" Points"</f>
        <v>26 Points</v>
      </c>
      <c r="G105" s="178"/>
      <c r="H105" s="75"/>
      <c r="J105" s="69"/>
    </row>
    <row r="106" spans="2:10" ht="28.35" customHeight="1">
      <c r="B106" s="179"/>
      <c r="C106" s="285" t="s">
        <v>661</v>
      </c>
      <c r="D106" s="286"/>
      <c r="E106" s="286"/>
      <c r="F106" s="286"/>
      <c r="G106" s="180"/>
      <c r="H106" s="78"/>
      <c r="J106" s="69"/>
    </row>
    <row r="107" spans="2:10" ht="32.1" customHeight="1">
      <c r="B107" s="181"/>
      <c r="C107" s="287" t="s">
        <v>662</v>
      </c>
      <c r="D107" s="288"/>
      <c r="E107" s="288"/>
      <c r="F107" s="288"/>
      <c r="G107" s="182"/>
      <c r="H107" s="78"/>
    </row>
    <row r="108" spans="2:10" ht="32.1" customHeight="1">
      <c r="B108" s="181"/>
      <c r="C108" s="289" t="s">
        <v>663</v>
      </c>
      <c r="D108" s="288"/>
      <c r="E108" s="288"/>
      <c r="F108" s="288"/>
      <c r="G108" s="182"/>
      <c r="H108" s="78"/>
    </row>
    <row r="109" spans="2:10" ht="18" customHeight="1">
      <c r="B109" s="183"/>
      <c r="C109" s="290"/>
      <c r="D109" s="291"/>
      <c r="E109" s="184"/>
      <c r="F109" s="185" t="s">
        <v>103</v>
      </c>
      <c r="G109" s="186"/>
      <c r="H109" s="78"/>
    </row>
    <row r="110" spans="2:10" ht="29.1" customHeight="1">
      <c r="B110" s="85"/>
      <c r="C110" s="86"/>
      <c r="D110" s="86" t="s">
        <v>163</v>
      </c>
      <c r="E110" s="86"/>
      <c r="F110" s="204" t="s">
        <v>164</v>
      </c>
      <c r="G110" s="1"/>
      <c r="H110" s="85"/>
    </row>
    <row r="111" spans="2:10" ht="20.100000000000001" customHeight="1">
      <c r="B111" s="187"/>
      <c r="C111" s="282" t="s">
        <v>165</v>
      </c>
      <c r="D111" s="283"/>
      <c r="E111" s="191"/>
      <c r="F111" s="189" t="s">
        <v>166</v>
      </c>
      <c r="G111" s="190"/>
      <c r="H111" s="78"/>
    </row>
    <row r="112" spans="2:10" ht="27.6" customHeight="1">
      <c r="C112" s="126" t="s">
        <v>105</v>
      </c>
      <c r="D112" s="127" t="s">
        <v>664</v>
      </c>
      <c r="E112" s="128"/>
      <c r="F112" s="203" t="s">
        <v>164</v>
      </c>
      <c r="G112" s="7"/>
      <c r="H112" s="85"/>
    </row>
    <row r="113" spans="2:10" ht="27.6" customHeight="1">
      <c r="C113" s="126" t="s">
        <v>106</v>
      </c>
      <c r="D113" s="127" t="s">
        <v>665</v>
      </c>
      <c r="E113" s="128"/>
      <c r="F113" s="203" t="s">
        <v>164</v>
      </c>
      <c r="G113" s="7"/>
      <c r="H113" s="85"/>
    </row>
    <row r="114" spans="2:10" ht="27.6" customHeight="1">
      <c r="C114" s="126" t="s">
        <v>107</v>
      </c>
      <c r="D114" s="127" t="s">
        <v>666</v>
      </c>
      <c r="E114" s="128"/>
      <c r="F114" s="203" t="s">
        <v>164</v>
      </c>
      <c r="G114" s="7"/>
      <c r="H114" s="85"/>
    </row>
    <row r="115" spans="2:10" ht="27.6" customHeight="1">
      <c r="C115" s="126" t="s">
        <v>108</v>
      </c>
      <c r="D115" s="127" t="s">
        <v>667</v>
      </c>
      <c r="E115" s="128"/>
      <c r="F115" s="203" t="s">
        <v>164</v>
      </c>
      <c r="G115" s="7"/>
      <c r="H115" s="85"/>
    </row>
    <row r="116" spans="2:10" ht="27.6" customHeight="1">
      <c r="C116" s="126" t="s">
        <v>109</v>
      </c>
      <c r="D116" s="127" t="s">
        <v>668</v>
      </c>
      <c r="E116" s="128"/>
      <c r="F116" s="203" t="s">
        <v>164</v>
      </c>
      <c r="G116" s="7"/>
      <c r="H116" s="85"/>
    </row>
    <row r="117" spans="2:10" ht="13.5">
      <c r="B117" s="85"/>
      <c r="C117" s="85"/>
      <c r="D117" s="95"/>
      <c r="E117" s="95" t="s">
        <v>174</v>
      </c>
      <c r="F117" s="96" t="str">
        <f>IF(F110="Yes",COUNTIF(F112:F116,"Yes") &amp;" of " &amp;COUNTIF(C112:C116,"*"),"-")</f>
        <v>-</v>
      </c>
      <c r="G117" s="97"/>
      <c r="H117" s="85"/>
    </row>
    <row r="118" spans="2:10" ht="6.75" customHeight="1">
      <c r="B118" s="85"/>
      <c r="C118" s="85"/>
      <c r="D118" s="95"/>
      <c r="E118" s="6"/>
      <c r="F118" s="107"/>
      <c r="G118" s="97"/>
      <c r="H118" s="85"/>
    </row>
    <row r="119" spans="2:10" ht="6.75" customHeight="1">
      <c r="B119" s="85"/>
      <c r="C119" s="85"/>
      <c r="D119" s="95"/>
      <c r="E119" s="6"/>
      <c r="F119" s="107"/>
      <c r="G119" s="97"/>
      <c r="H119" s="85"/>
    </row>
    <row r="120" spans="2:10" ht="22.35" customHeight="1">
      <c r="B120" s="175"/>
      <c r="C120" s="176" t="s">
        <v>669</v>
      </c>
      <c r="D120" s="176"/>
      <c r="E120" s="177" t="str">
        <f>IF(Tabulations!E70=1, MAX(Tabulations!V70:AA70), 0) &amp;" of"</f>
        <v>0 of</v>
      </c>
      <c r="F120" s="176" t="str">
        <f>Tabulations!S70&amp;" Points"</f>
        <v>18 Points</v>
      </c>
      <c r="G120" s="178"/>
      <c r="H120" s="75"/>
      <c r="J120" s="69"/>
    </row>
    <row r="121" spans="2:10" ht="40.35" customHeight="1">
      <c r="B121" s="179"/>
      <c r="C121" s="285" t="s">
        <v>670</v>
      </c>
      <c r="D121" s="286"/>
      <c r="E121" s="286"/>
      <c r="F121" s="286"/>
      <c r="G121" s="180"/>
      <c r="H121" s="78"/>
      <c r="J121" s="69"/>
    </row>
    <row r="122" spans="2:10" ht="28.35" customHeight="1">
      <c r="B122" s="181"/>
      <c r="C122" s="287" t="s">
        <v>671</v>
      </c>
      <c r="D122" s="288"/>
      <c r="E122" s="288"/>
      <c r="F122" s="288"/>
      <c r="G122" s="182"/>
      <c r="H122" s="78"/>
    </row>
    <row r="123" spans="2:10" ht="32.1" customHeight="1">
      <c r="B123" s="181"/>
      <c r="C123" s="289" t="s">
        <v>672</v>
      </c>
      <c r="D123" s="288"/>
      <c r="E123" s="288"/>
      <c r="F123" s="288"/>
      <c r="G123" s="182"/>
      <c r="H123" s="78"/>
    </row>
    <row r="124" spans="2:10" ht="18" customHeight="1">
      <c r="B124" s="183"/>
      <c r="C124" s="290"/>
      <c r="D124" s="291"/>
      <c r="E124" s="184"/>
      <c r="F124" s="185" t="s">
        <v>103</v>
      </c>
      <c r="G124" s="186"/>
      <c r="H124" s="78"/>
    </row>
    <row r="125" spans="2:10" ht="29.1" customHeight="1">
      <c r="B125" s="85"/>
      <c r="C125" s="86"/>
      <c r="D125" s="86" t="s">
        <v>163</v>
      </c>
      <c r="E125" s="86"/>
      <c r="F125" s="204" t="s">
        <v>164</v>
      </c>
      <c r="G125" s="1"/>
      <c r="H125" s="85"/>
    </row>
    <row r="126" spans="2:10" ht="20.100000000000001" customHeight="1">
      <c r="B126" s="187"/>
      <c r="C126" s="282" t="s">
        <v>165</v>
      </c>
      <c r="D126" s="283"/>
      <c r="E126" s="191"/>
      <c r="F126" s="189" t="s">
        <v>166</v>
      </c>
      <c r="G126" s="190"/>
      <c r="H126" s="78"/>
    </row>
    <row r="127" spans="2:10" ht="27.6" customHeight="1">
      <c r="C127" s="126" t="s">
        <v>105</v>
      </c>
      <c r="D127" s="127" t="s">
        <v>673</v>
      </c>
      <c r="E127" s="128"/>
      <c r="F127" s="203" t="s">
        <v>164</v>
      </c>
      <c r="G127" s="7"/>
      <c r="H127" s="85"/>
    </row>
    <row r="128" spans="2:10" ht="27.6" customHeight="1">
      <c r="C128" s="126" t="s">
        <v>106</v>
      </c>
      <c r="D128" s="94" t="s">
        <v>674</v>
      </c>
      <c r="E128" s="149"/>
      <c r="F128" s="203" t="s">
        <v>164</v>
      </c>
      <c r="G128" s="7"/>
      <c r="H128" s="85"/>
    </row>
    <row r="129" spans="2:8" ht="27.6" customHeight="1">
      <c r="C129" s="126" t="s">
        <v>107</v>
      </c>
      <c r="D129" s="94" t="s">
        <v>675</v>
      </c>
      <c r="E129" s="149"/>
      <c r="F129" s="203" t="s">
        <v>164</v>
      </c>
      <c r="G129" s="7"/>
      <c r="H129" s="85"/>
    </row>
    <row r="130" spans="2:8" ht="27.6" customHeight="1">
      <c r="C130" s="126" t="s">
        <v>108</v>
      </c>
      <c r="D130" s="94" t="s">
        <v>676</v>
      </c>
      <c r="E130" s="87"/>
      <c r="F130" s="203" t="s">
        <v>164</v>
      </c>
      <c r="G130" s="7"/>
      <c r="H130" s="85"/>
    </row>
    <row r="131" spans="2:8" ht="27.6" customHeight="1">
      <c r="C131" s="126" t="s">
        <v>109</v>
      </c>
      <c r="D131" s="94" t="s">
        <v>677</v>
      </c>
      <c r="E131" s="87"/>
      <c r="F131" s="203" t="s">
        <v>164</v>
      </c>
      <c r="G131" s="7"/>
      <c r="H131" s="85"/>
    </row>
    <row r="132" spans="2:8" ht="13.5">
      <c r="B132" s="85"/>
      <c r="C132" s="85"/>
      <c r="D132" s="95"/>
      <c r="E132" s="95" t="s">
        <v>174</v>
      </c>
      <c r="F132" s="96" t="str">
        <f>IF(F125="Yes",COUNTIF(F127:F131,"Yes") &amp;" of " &amp;COUNTIF(B127:C131,"*"),"-")</f>
        <v>-</v>
      </c>
      <c r="G132" s="97"/>
      <c r="H132" s="85"/>
    </row>
    <row r="133" spans="2:8" ht="6.75" customHeight="1">
      <c r="B133" s="85"/>
      <c r="C133" s="85"/>
      <c r="D133" s="95"/>
      <c r="E133" s="6"/>
      <c r="F133" s="107"/>
      <c r="G133" s="97"/>
      <c r="H133" s="85"/>
    </row>
    <row r="134" spans="2:8" ht="6.75" customHeight="1">
      <c r="B134" s="85"/>
      <c r="C134" s="85"/>
      <c r="D134" s="95"/>
      <c r="E134" s="6"/>
      <c r="F134" s="107"/>
      <c r="G134" s="97"/>
      <c r="H134" s="85"/>
    </row>
    <row r="146" spans="3:6">
      <c r="C146" s="196"/>
      <c r="D146" s="196"/>
      <c r="F146" s="199"/>
    </row>
  </sheetData>
  <sheetProtection sheet="1" objects="1" scenarios="1"/>
  <mergeCells count="47">
    <mergeCell ref="C96:D96"/>
    <mergeCell ref="C64:F64"/>
    <mergeCell ref="C65:D65"/>
    <mergeCell ref="C67:D67"/>
    <mergeCell ref="C77:F77"/>
    <mergeCell ref="C78:F78"/>
    <mergeCell ref="C80:D80"/>
    <mergeCell ref="C82:D82"/>
    <mergeCell ref="C93:F93"/>
    <mergeCell ref="C94:F94"/>
    <mergeCell ref="C95:F95"/>
    <mergeCell ref="C79:F79"/>
    <mergeCell ref="C126:D126"/>
    <mergeCell ref="C98:D98"/>
    <mergeCell ref="C106:F106"/>
    <mergeCell ref="C107:F107"/>
    <mergeCell ref="C108:F108"/>
    <mergeCell ref="C109:D109"/>
    <mergeCell ref="C111:D111"/>
    <mergeCell ref="C121:F121"/>
    <mergeCell ref="C122:F122"/>
    <mergeCell ref="C123:F123"/>
    <mergeCell ref="C124:D124"/>
    <mergeCell ref="C49:F49"/>
    <mergeCell ref="C50:D50"/>
    <mergeCell ref="C52:D52"/>
    <mergeCell ref="C62:F62"/>
    <mergeCell ref="C63:F63"/>
    <mergeCell ref="C48:F48"/>
    <mergeCell ref="C19:F19"/>
    <mergeCell ref="C20:F20"/>
    <mergeCell ref="C21:F21"/>
    <mergeCell ref="C22:D22"/>
    <mergeCell ref="C24:D24"/>
    <mergeCell ref="C31:F31"/>
    <mergeCell ref="C32:F32"/>
    <mergeCell ref="C33:F33"/>
    <mergeCell ref="C34:D34"/>
    <mergeCell ref="C36:D36"/>
    <mergeCell ref="C47:F47"/>
    <mergeCell ref="C44:F44"/>
    <mergeCell ref="C11:D11"/>
    <mergeCell ref="C3:F3"/>
    <mergeCell ref="C6:F6"/>
    <mergeCell ref="C7:F7"/>
    <mergeCell ref="C8:F8"/>
    <mergeCell ref="C9:D9"/>
  </mergeCells>
  <phoneticPr fontId="8" type="noConversion"/>
  <pageMargins left="0.5" right="0.5" top="0.75" bottom="0.75" header="0.3" footer="0"/>
  <pageSetup scale="91" orientation="portrait" r:id="rId1"/>
  <headerFooter differentFirst="1">
    <oddHeader>&amp;C&amp;"Open Sans Regular,Bold"&amp;9Envision Framework_x000D_Pre-Assessment Checklist</oddHeader>
    <firstHeader>&amp;C&amp;"-,Bold"&amp;8Envision Rating System
Pre-Assessment Checklist</firstHeader>
  </headerFooter>
  <rowBreaks count="4" manualBreakCount="4">
    <brk id="29" min="1" max="6" man="1"/>
    <brk id="43" min="1" max="6" man="1"/>
    <brk id="75" min="1" max="6" man="1"/>
    <brk id="104"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Group Box 1">
              <controlPr defaultSize="0" autoFill="0" autoPict="0">
                <anchor moveWithCells="1">
                  <from>
                    <xdr:col>4</xdr:col>
                    <xdr:colOff>0</xdr:colOff>
                    <xdr:row>9</xdr:row>
                    <xdr:rowOff>0</xdr:rowOff>
                  </from>
                  <to>
                    <xdr:col>9</xdr:col>
                    <xdr:colOff>142875</xdr:colOff>
                    <xdr:row>10</xdr:row>
                    <xdr:rowOff>0</xdr:rowOff>
                  </to>
                </anchor>
              </controlPr>
            </control>
          </mc:Choice>
        </mc:AlternateContent>
        <mc:AlternateContent xmlns:mc="http://schemas.openxmlformats.org/markup-compatibility/2006">
          <mc:Choice Requires="x14">
            <control shapeId="21506" r:id="rId5" name="Group Box 2">
              <controlPr defaultSize="0" autoFill="0" autoPict="0">
                <anchor moveWithCells="1">
                  <from>
                    <xdr:col>5</xdr:col>
                    <xdr:colOff>0</xdr:colOff>
                    <xdr:row>9</xdr:row>
                    <xdr:rowOff>0</xdr:rowOff>
                  </from>
                  <to>
                    <xdr:col>10</xdr:col>
                    <xdr:colOff>200025</xdr:colOff>
                    <xdr:row>10</xdr:row>
                    <xdr:rowOff>0</xdr:rowOff>
                  </to>
                </anchor>
              </controlPr>
            </control>
          </mc:Choice>
        </mc:AlternateContent>
        <mc:AlternateContent xmlns:mc="http://schemas.openxmlformats.org/markup-compatibility/2006">
          <mc:Choice Requires="x14">
            <control shapeId="21507" r:id="rId6" name="Group Box 3">
              <controlPr defaultSize="0" autoFill="0" autoPict="0">
                <anchor moveWithCells="1">
                  <from>
                    <xdr:col>5</xdr:col>
                    <xdr:colOff>0</xdr:colOff>
                    <xdr:row>9</xdr:row>
                    <xdr:rowOff>0</xdr:rowOff>
                  </from>
                  <to>
                    <xdr:col>10</xdr:col>
                    <xdr:colOff>200025</xdr:colOff>
                    <xdr:row>10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770DBE7D-DDC1-4E5F-88DF-A1C967F0AA2B}">
            <xm:f>Tabulations!$E$62=2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B11:G11</xm:sqref>
        </x14:conditionalFormatting>
        <x14:conditionalFormatting xmlns:xm="http://schemas.microsoft.com/office/excel/2006/main">
          <x14:cfRule type="expression" priority="23" id="{C648DE4A-413F-446E-BB36-10079CF45281}">
            <xm:f>Tabulations!$E$62=2</xm:f>
            <x14:dxf>
              <font>
                <color theme="0" tint="-0.249977111117893"/>
              </font>
              <fill>
                <patternFill patternType="solid">
                  <fgColor indexed="64"/>
                  <bgColor theme="0" tint="-0.14999847407452621"/>
                </patternFill>
              </fill>
            </x14:dxf>
          </x14:cfRule>
          <xm:sqref>B12:G15</xm:sqref>
        </x14:conditionalFormatting>
        <x14:conditionalFormatting xmlns:xm="http://schemas.microsoft.com/office/excel/2006/main">
          <x14:cfRule type="expression" priority="35" id="{C51CCDD7-A901-4462-900B-1FFE5A417D6D}">
            <xm:f>Tabulations!$E$63=2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B24:G24</xm:sqref>
        </x14:conditionalFormatting>
        <x14:conditionalFormatting xmlns:xm="http://schemas.microsoft.com/office/excel/2006/main">
          <x14:cfRule type="expression" priority="12" id="{621F1EEC-4116-415C-A2FD-F227085C45E1}">
            <xm:f>Tabulations!$E$63=2</xm:f>
            <x14:dxf>
              <font>
                <color theme="0" tint="-0.249977111117893"/>
              </font>
              <fill>
                <patternFill patternType="solid">
                  <fgColor indexed="64"/>
                  <bgColor theme="0" tint="-0.14999847407452621"/>
                </patternFill>
              </fill>
            </x14:dxf>
          </x14:cfRule>
          <xm:sqref>B25:G27</xm:sqref>
        </x14:conditionalFormatting>
        <x14:conditionalFormatting xmlns:xm="http://schemas.microsoft.com/office/excel/2006/main">
          <x14:cfRule type="expression" priority="34" id="{F850FBFE-19FD-465A-AD02-0378C5D68844}">
            <xm:f>Tabulations!$E$64=2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B36:G36</xm:sqref>
        </x14:conditionalFormatting>
        <x14:conditionalFormatting xmlns:xm="http://schemas.microsoft.com/office/excel/2006/main">
          <x14:cfRule type="expression" priority="11" id="{E872EDAD-CA3A-46E9-BF30-93806CECDCB1}">
            <xm:f>Tabulations!$E$64=2</xm:f>
            <x14:dxf>
              <font>
                <color theme="0" tint="-0.249977111117893"/>
              </font>
              <fill>
                <patternFill patternType="solid">
                  <fgColor indexed="64"/>
                  <bgColor theme="0" tint="-0.14999847407452621"/>
                </patternFill>
              </fill>
            </x14:dxf>
          </x14:cfRule>
          <xm:sqref>B37:G42</xm:sqref>
        </x14:conditionalFormatting>
        <x14:conditionalFormatting xmlns:xm="http://schemas.microsoft.com/office/excel/2006/main">
          <x14:cfRule type="expression" priority="33" id="{914DAA18-0483-4690-B9AF-5BD23F375149}">
            <xm:f>Tabulations!$E$65=2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B52:G52</xm:sqref>
        </x14:conditionalFormatting>
        <x14:conditionalFormatting xmlns:xm="http://schemas.microsoft.com/office/excel/2006/main">
          <x14:cfRule type="expression" priority="6" id="{20E7A525-97D3-431A-BB85-B417E5EBF86F}">
            <xm:f>Tabulations!$E$65=2</xm:f>
            <x14:dxf>
              <font>
                <color theme="0" tint="-0.249977111117893"/>
              </font>
              <fill>
                <patternFill patternType="solid">
                  <fgColor indexed="64"/>
                  <bgColor theme="0" tint="-0.14999847407452621"/>
                </patternFill>
              </fill>
            </x14:dxf>
          </x14:cfRule>
          <xm:sqref>B53:G58</xm:sqref>
        </x14:conditionalFormatting>
        <x14:conditionalFormatting xmlns:xm="http://schemas.microsoft.com/office/excel/2006/main">
          <x14:cfRule type="expression" priority="32" id="{5B839D70-C289-4959-856E-93181F1AE980}">
            <xm:f>Tabulations!$E$66=2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B67:G67</xm:sqref>
        </x14:conditionalFormatting>
        <x14:conditionalFormatting xmlns:xm="http://schemas.microsoft.com/office/excel/2006/main">
          <x14:cfRule type="expression" priority="5" id="{32AC2D5D-AE9D-4608-9331-C5E46F044020}">
            <xm:f>Tabulations!$E$66=2</xm:f>
            <x14:dxf>
              <font>
                <color theme="0" tint="-0.249977111117893"/>
              </font>
              <fill>
                <patternFill patternType="solid">
                  <fgColor indexed="64"/>
                  <bgColor theme="0" tint="-0.14999847407452621"/>
                </patternFill>
              </fill>
            </x14:dxf>
          </x14:cfRule>
          <xm:sqref>B68:G72</xm:sqref>
        </x14:conditionalFormatting>
        <x14:conditionalFormatting xmlns:xm="http://schemas.microsoft.com/office/excel/2006/main">
          <x14:cfRule type="expression" priority="31" id="{A269AE7E-7034-4FC7-AB7C-C82B82E2B9C4}">
            <xm:f>Tabulations!$E$67=2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B82:G82</xm:sqref>
        </x14:conditionalFormatting>
        <x14:conditionalFormatting xmlns:xm="http://schemas.microsoft.com/office/excel/2006/main">
          <x14:cfRule type="expression" priority="3" id="{A680DE5D-509C-459C-9D42-182081273BAE}">
            <xm:f>Tabulations!$E$67=2</xm:f>
            <x14:dxf>
              <font>
                <color theme="0" tint="-0.249977111117893"/>
              </font>
              <fill>
                <patternFill patternType="solid">
                  <fgColor indexed="64"/>
                  <bgColor theme="0" tint="-0.14999847407452621"/>
                </patternFill>
              </fill>
            </x14:dxf>
          </x14:cfRule>
          <xm:sqref>B83:G89</xm:sqref>
        </x14:conditionalFormatting>
        <x14:conditionalFormatting xmlns:xm="http://schemas.microsoft.com/office/excel/2006/main">
          <x14:cfRule type="expression" priority="30" id="{DDF0399F-E45E-4A9D-9E9F-C44983A94EC5}">
            <xm:f>Tabulations!$E$68=2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B98:G98</xm:sqref>
        </x14:conditionalFormatting>
        <x14:conditionalFormatting xmlns:xm="http://schemas.microsoft.com/office/excel/2006/main">
          <x14:cfRule type="expression" priority="2" id="{BA99390B-9825-4FE0-874F-2F402FB4B90A}">
            <xm:f>Tabulations!$E$68=2</xm:f>
            <x14:dxf>
              <font>
                <color theme="0" tint="-0.249977111117893"/>
              </font>
              <fill>
                <patternFill patternType="solid">
                  <fgColor indexed="64"/>
                  <bgColor theme="0" tint="-0.14999847407452621"/>
                </patternFill>
              </fill>
            </x14:dxf>
          </x14:cfRule>
          <xm:sqref>B99:G102</xm:sqref>
        </x14:conditionalFormatting>
        <x14:conditionalFormatting xmlns:xm="http://schemas.microsoft.com/office/excel/2006/main">
          <x14:cfRule type="expression" priority="29" id="{4875E4AE-D658-4757-917B-398A0B8346FC}">
            <xm:f>Tabulations!$E$69=2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B111:G111</xm:sqref>
        </x14:conditionalFormatting>
        <x14:conditionalFormatting xmlns:xm="http://schemas.microsoft.com/office/excel/2006/main">
          <x14:cfRule type="expression" priority="17" id="{C497F2B2-8FEB-4404-A37E-8DBDFC735614}">
            <xm:f>Tabulations!$E$69=2</xm:f>
            <x14:dxf>
              <font>
                <color theme="0" tint="-0.249977111117893"/>
              </font>
              <fill>
                <patternFill patternType="solid">
                  <fgColor indexed="64"/>
                  <bgColor theme="0" tint="-0.14999847407452621"/>
                </patternFill>
              </fill>
            </x14:dxf>
          </x14:cfRule>
          <xm:sqref>B112:G116</xm:sqref>
        </x14:conditionalFormatting>
        <x14:conditionalFormatting xmlns:xm="http://schemas.microsoft.com/office/excel/2006/main">
          <x14:cfRule type="expression" priority="28" id="{0478291D-32B0-49E1-A0DE-78D25B61582A}">
            <xm:f>Tabulations!$E$70=2</xm:f>
            <x14:dxf>
              <font>
                <color theme="0" tint="-0.34998626667073579"/>
              </font>
              <fill>
                <patternFill patternType="solid">
                  <fgColor indexed="64"/>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x14:dxf>
          </x14:cfRule>
          <xm:sqref>B126:G126</xm:sqref>
        </x14:conditionalFormatting>
        <x14:conditionalFormatting xmlns:xm="http://schemas.microsoft.com/office/excel/2006/main">
          <x14:cfRule type="expression" priority="1" id="{884A8B3D-4952-4569-8202-ABA651ADB529}">
            <xm:f>Tabulations!$E$70=2</xm:f>
            <x14:dxf>
              <font>
                <color theme="0" tint="-0.249977111117893"/>
              </font>
              <fill>
                <patternFill patternType="solid">
                  <fgColor indexed="64"/>
                  <bgColor theme="0" tint="-0.14999847407452621"/>
                </patternFill>
              </fill>
            </x14:dxf>
          </x14:cfRule>
          <xm:sqref>B127:G131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0000000}">
          <x14:formula1>
            <xm:f>lookup!$X$11:$X$16</xm:f>
          </x14:formula1>
          <xm:sqref>D26</xm:sqref>
        </x14:dataValidation>
        <x14:dataValidation type="list" allowBlank="1" showInputMessage="1" showErrorMessage="1" xr:uid="{00000000-0002-0000-0700-000001000000}">
          <x14:formula1>
            <xm:f>lookup!$X$26:$X$29</xm:f>
          </x14:formula1>
          <xm:sqref>D84</xm:sqref>
        </x14:dataValidation>
        <x14:dataValidation type="list" allowBlank="1" showInputMessage="1" showErrorMessage="1" xr:uid="{00000000-0002-0000-0700-000002000000}">
          <x14:formula1>
            <xm:f>lookup!$B$3:$B$5</xm:f>
          </x14:formula1>
          <xm:sqref>F10 F23 F35 F51 F66 F12:F13 F81 F97 F37 F110 F68:F72 F125 F27 F40:F42 F53:F58 F85:F89 F112:F116 F99:F102 F127:F131</xm:sqref>
        </x14:dataValidation>
        <x14:dataValidation type="list" allowBlank="1" showInputMessage="1" showErrorMessage="1" xr:uid="{00000000-0002-0000-0700-000003000000}">
          <x14:formula1>
            <xm:f>lookup!$X$4:$X$8</xm:f>
          </x14:formula1>
          <xm:sqref>D15</xm:sqref>
        </x14:dataValidation>
        <x14:dataValidation type="list" allowBlank="1" showInputMessage="1" showErrorMessage="1" xr:uid="{00000000-0002-0000-0700-000004000000}">
          <x14:formula1>
            <xm:f>lookup!$X$19:$X$23</xm:f>
          </x14:formula1>
          <xm:sqref>D39</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3:Y96"/>
  <sheetViews>
    <sheetView topLeftCell="M51" workbookViewId="0">
      <selection activeCell="O63" sqref="O63"/>
    </sheetView>
  </sheetViews>
  <sheetFormatPr defaultColWidth="9" defaultRowHeight="12.75"/>
  <cols>
    <col min="1" max="5" width="9" style="9"/>
    <col min="6" max="6" width="9" style="20"/>
    <col min="7" max="10" width="9" style="9"/>
    <col min="11" max="11" width="9" style="20"/>
    <col min="12" max="16384" width="9" style="9"/>
  </cols>
  <sheetData>
    <row r="3" spans="2:25">
      <c r="B3" s="8" t="s">
        <v>164</v>
      </c>
      <c r="E3" s="10" t="s">
        <v>678</v>
      </c>
      <c r="F3" s="11"/>
      <c r="J3" s="10" t="s">
        <v>679</v>
      </c>
      <c r="K3" s="11"/>
      <c r="O3" s="10" t="s">
        <v>395</v>
      </c>
      <c r="P3" s="11"/>
      <c r="S3" s="10" t="s">
        <v>478</v>
      </c>
      <c r="T3" s="10"/>
      <c r="X3" s="9" t="s">
        <v>600</v>
      </c>
    </row>
    <row r="4" spans="2:25">
      <c r="B4" s="10" t="s">
        <v>6</v>
      </c>
      <c r="E4" s="10" t="s">
        <v>204</v>
      </c>
      <c r="F4" s="11">
        <v>2</v>
      </c>
      <c r="J4" s="10" t="s">
        <v>204</v>
      </c>
      <c r="K4" s="11">
        <v>2</v>
      </c>
      <c r="O4" s="10" t="s">
        <v>204</v>
      </c>
      <c r="P4" s="11">
        <v>2</v>
      </c>
      <c r="S4" s="10" t="s">
        <v>204</v>
      </c>
      <c r="T4" s="11">
        <v>2</v>
      </c>
      <c r="X4" s="10" t="s">
        <v>204</v>
      </c>
      <c r="Y4" s="11">
        <v>2</v>
      </c>
    </row>
    <row r="5" spans="2:25">
      <c r="B5" s="10" t="s">
        <v>7</v>
      </c>
      <c r="E5" s="10" t="s">
        <v>680</v>
      </c>
      <c r="F5" s="11" t="s">
        <v>105</v>
      </c>
      <c r="J5" s="10" t="s">
        <v>681</v>
      </c>
      <c r="K5" s="11" t="s">
        <v>105</v>
      </c>
      <c r="O5" s="10" t="s">
        <v>682</v>
      </c>
      <c r="P5" s="11" t="s">
        <v>105</v>
      </c>
      <c r="S5" s="10" t="s">
        <v>683</v>
      </c>
      <c r="T5" s="11" t="s">
        <v>105</v>
      </c>
      <c r="X5" s="10" t="s">
        <v>684</v>
      </c>
      <c r="Y5" s="11" t="s">
        <v>105</v>
      </c>
    </row>
    <row r="6" spans="2:25">
      <c r="E6" s="10" t="s">
        <v>685</v>
      </c>
      <c r="F6" s="11" t="s">
        <v>106</v>
      </c>
      <c r="J6" s="10" t="s">
        <v>686</v>
      </c>
      <c r="K6" s="11" t="s">
        <v>106</v>
      </c>
      <c r="O6" s="10" t="s">
        <v>687</v>
      </c>
      <c r="P6" s="11" t="s">
        <v>106</v>
      </c>
      <c r="S6" s="10" t="s">
        <v>688</v>
      </c>
      <c r="T6" s="11" t="s">
        <v>106</v>
      </c>
      <c r="X6" s="10" t="s">
        <v>689</v>
      </c>
      <c r="Y6" s="11" t="s">
        <v>106</v>
      </c>
    </row>
    <row r="7" spans="2:25">
      <c r="E7" s="10" t="s">
        <v>690</v>
      </c>
      <c r="F7" s="11" t="s">
        <v>107</v>
      </c>
      <c r="O7" s="10" t="s">
        <v>691</v>
      </c>
      <c r="P7" s="11" t="s">
        <v>107</v>
      </c>
      <c r="X7" s="10" t="s">
        <v>692</v>
      </c>
      <c r="Y7" s="11" t="s">
        <v>107</v>
      </c>
    </row>
    <row r="8" spans="2:25">
      <c r="E8" s="10" t="s">
        <v>693</v>
      </c>
      <c r="F8" s="11" t="s">
        <v>108</v>
      </c>
      <c r="J8" s="15" t="s">
        <v>376</v>
      </c>
      <c r="K8" s="21"/>
      <c r="O8" s="10" t="s">
        <v>694</v>
      </c>
      <c r="P8" s="11" t="s">
        <v>108</v>
      </c>
      <c r="S8" s="10" t="s">
        <v>488</v>
      </c>
      <c r="T8" s="10"/>
      <c r="X8" s="10" t="s">
        <v>695</v>
      </c>
      <c r="Y8" s="11" t="s">
        <v>108</v>
      </c>
    </row>
    <row r="9" spans="2:25">
      <c r="J9" s="10" t="s">
        <v>204</v>
      </c>
      <c r="K9" s="11">
        <v>2</v>
      </c>
      <c r="P9" s="20"/>
      <c r="S9" s="10" t="s">
        <v>204</v>
      </c>
      <c r="T9" s="11">
        <v>2</v>
      </c>
    </row>
    <row r="10" spans="2:25">
      <c r="E10" s="10" t="s">
        <v>696</v>
      </c>
      <c r="F10" s="11"/>
      <c r="J10" s="10" t="s">
        <v>697</v>
      </c>
      <c r="K10" s="11" t="s">
        <v>105</v>
      </c>
      <c r="O10" s="10" t="s">
        <v>401</v>
      </c>
      <c r="P10" s="11"/>
      <c r="S10" s="10" t="s">
        <v>698</v>
      </c>
      <c r="T10" s="11" t="s">
        <v>105</v>
      </c>
      <c r="X10" s="9" t="s">
        <v>606</v>
      </c>
    </row>
    <row r="11" spans="2:25">
      <c r="E11" s="10" t="s">
        <v>204</v>
      </c>
      <c r="F11" s="11">
        <v>2</v>
      </c>
      <c r="J11" s="10" t="s">
        <v>699</v>
      </c>
      <c r="K11" s="11" t="s">
        <v>106</v>
      </c>
      <c r="O11" s="10" t="s">
        <v>204</v>
      </c>
      <c r="P11" s="11">
        <v>2</v>
      </c>
      <c r="S11" s="10" t="s">
        <v>700</v>
      </c>
      <c r="T11" s="11" t="s">
        <v>106</v>
      </c>
      <c r="X11" s="10" t="s">
        <v>204</v>
      </c>
      <c r="Y11" s="11">
        <v>2</v>
      </c>
    </row>
    <row r="12" spans="2:25">
      <c r="E12" s="10" t="s">
        <v>701</v>
      </c>
      <c r="F12" s="11" t="s">
        <v>105</v>
      </c>
      <c r="O12" s="10" t="s">
        <v>702</v>
      </c>
      <c r="P12" s="11" t="s">
        <v>105</v>
      </c>
      <c r="S12" s="10" t="s">
        <v>703</v>
      </c>
      <c r="T12" s="11" t="s">
        <v>107</v>
      </c>
      <c r="X12" s="10" t="s">
        <v>704</v>
      </c>
      <c r="Y12" s="11" t="s">
        <v>105</v>
      </c>
    </row>
    <row r="13" spans="2:25">
      <c r="E13" s="10" t="s">
        <v>705</v>
      </c>
      <c r="F13" s="11" t="s">
        <v>106</v>
      </c>
      <c r="O13" s="10" t="s">
        <v>706</v>
      </c>
      <c r="P13" s="11" t="s">
        <v>106</v>
      </c>
      <c r="S13" s="10" t="s">
        <v>707</v>
      </c>
      <c r="T13" s="11" t="s">
        <v>108</v>
      </c>
      <c r="X13" s="10" t="s">
        <v>708</v>
      </c>
      <c r="Y13" s="11" t="s">
        <v>106</v>
      </c>
    </row>
    <row r="14" spans="2:25">
      <c r="E14" s="10" t="s">
        <v>709</v>
      </c>
      <c r="F14" s="11" t="s">
        <v>107</v>
      </c>
      <c r="O14" s="10" t="s">
        <v>710</v>
      </c>
      <c r="P14" s="11" t="s">
        <v>107</v>
      </c>
      <c r="X14" s="10" t="s">
        <v>711</v>
      </c>
      <c r="Y14" s="11" t="s">
        <v>107</v>
      </c>
    </row>
    <row r="15" spans="2:25">
      <c r="O15" s="10" t="s">
        <v>712</v>
      </c>
      <c r="P15" s="11" t="s">
        <v>108</v>
      </c>
      <c r="S15" s="10" t="s">
        <v>497</v>
      </c>
      <c r="T15" s="10"/>
      <c r="X15" s="10" t="s">
        <v>713</v>
      </c>
      <c r="Y15" s="11" t="s">
        <v>108</v>
      </c>
    </row>
    <row r="16" spans="2:25">
      <c r="E16" s="10" t="s">
        <v>195</v>
      </c>
      <c r="F16" s="11"/>
      <c r="S16" s="10" t="s">
        <v>204</v>
      </c>
      <c r="T16" s="11">
        <v>2</v>
      </c>
      <c r="X16" s="10" t="s">
        <v>714</v>
      </c>
      <c r="Y16" s="11" t="s">
        <v>109</v>
      </c>
    </row>
    <row r="17" spans="4:25">
      <c r="E17" s="10" t="s">
        <v>204</v>
      </c>
      <c r="F17" s="11">
        <v>2</v>
      </c>
      <c r="O17" s="15" t="s">
        <v>405</v>
      </c>
      <c r="P17" s="14"/>
      <c r="S17" s="10" t="s">
        <v>715</v>
      </c>
      <c r="T17" s="11" t="s">
        <v>105</v>
      </c>
    </row>
    <row r="18" spans="4:25">
      <c r="D18" s="12"/>
      <c r="E18" s="10" t="s">
        <v>716</v>
      </c>
      <c r="F18" s="11" t="s">
        <v>105</v>
      </c>
      <c r="O18" s="10" t="s">
        <v>204</v>
      </c>
      <c r="P18" s="11">
        <v>2</v>
      </c>
      <c r="S18" s="10" t="s">
        <v>717</v>
      </c>
      <c r="T18" s="11" t="s">
        <v>106</v>
      </c>
      <c r="X18" s="9" t="s">
        <v>612</v>
      </c>
    </row>
    <row r="19" spans="4:25">
      <c r="D19" s="12"/>
      <c r="E19" s="10" t="s">
        <v>718</v>
      </c>
      <c r="F19" s="11" t="s">
        <v>106</v>
      </c>
      <c r="O19" s="10" t="s">
        <v>719</v>
      </c>
      <c r="P19" s="11" t="s">
        <v>105</v>
      </c>
      <c r="S19" s="10" t="s">
        <v>720</v>
      </c>
      <c r="T19" s="11" t="s">
        <v>107</v>
      </c>
      <c r="X19" s="10" t="s">
        <v>204</v>
      </c>
      <c r="Y19" s="11">
        <v>2</v>
      </c>
    </row>
    <row r="20" spans="4:25">
      <c r="O20" s="10" t="s">
        <v>721</v>
      </c>
      <c r="P20" s="11" t="s">
        <v>106</v>
      </c>
      <c r="X20" s="10" t="s">
        <v>722</v>
      </c>
      <c r="Y20" s="11" t="s">
        <v>105</v>
      </c>
    </row>
    <row r="21" spans="4:25">
      <c r="O21" s="10" t="s">
        <v>723</v>
      </c>
      <c r="P21" s="11" t="s">
        <v>107</v>
      </c>
      <c r="S21" s="9" t="s">
        <v>506</v>
      </c>
      <c r="X21" s="10" t="s">
        <v>724</v>
      </c>
      <c r="Y21" s="11" t="s">
        <v>106</v>
      </c>
    </row>
    <row r="22" spans="4:25">
      <c r="O22" s="10" t="s">
        <v>725</v>
      </c>
      <c r="P22" s="11" t="s">
        <v>108</v>
      </c>
      <c r="S22" s="10" t="s">
        <v>204</v>
      </c>
      <c r="T22" s="11">
        <v>2</v>
      </c>
      <c r="X22" s="10" t="s">
        <v>726</v>
      </c>
      <c r="Y22" s="11" t="s">
        <v>107</v>
      </c>
    </row>
    <row r="23" spans="4:25">
      <c r="S23" s="10" t="s">
        <v>727</v>
      </c>
      <c r="T23" s="11" t="s">
        <v>105</v>
      </c>
      <c r="X23" s="10" t="s">
        <v>728</v>
      </c>
      <c r="Y23" s="11" t="s">
        <v>108</v>
      </c>
    </row>
    <row r="24" spans="4:25">
      <c r="O24" s="10" t="s">
        <v>411</v>
      </c>
      <c r="P24" s="10"/>
      <c r="S24" s="10" t="s">
        <v>729</v>
      </c>
      <c r="T24" s="11" t="s">
        <v>106</v>
      </c>
    </row>
    <row r="25" spans="4:25">
      <c r="O25" s="10" t="s">
        <v>204</v>
      </c>
      <c r="P25" s="11">
        <v>2</v>
      </c>
      <c r="S25" s="10" t="s">
        <v>730</v>
      </c>
      <c r="T25" s="11" t="s">
        <v>107</v>
      </c>
      <c r="X25" s="9" t="s">
        <v>641</v>
      </c>
    </row>
    <row r="26" spans="4:25">
      <c r="O26" s="10" t="s">
        <v>731</v>
      </c>
      <c r="P26" s="11" t="s">
        <v>105</v>
      </c>
      <c r="S26" s="10" t="s">
        <v>732</v>
      </c>
      <c r="T26" s="11" t="s">
        <v>108</v>
      </c>
      <c r="X26" s="10" t="s">
        <v>204</v>
      </c>
      <c r="Y26" s="11">
        <v>2</v>
      </c>
    </row>
    <row r="27" spans="4:25">
      <c r="O27" s="10" t="s">
        <v>733</v>
      </c>
      <c r="P27" s="11" t="s">
        <v>106</v>
      </c>
      <c r="X27" s="10" t="s">
        <v>734</v>
      </c>
      <c r="Y27" s="11" t="s">
        <v>105</v>
      </c>
    </row>
    <row r="28" spans="4:25">
      <c r="O28" s="10" t="s">
        <v>735</v>
      </c>
      <c r="P28" s="11" t="s">
        <v>107</v>
      </c>
      <c r="S28" s="9" t="s">
        <v>513</v>
      </c>
      <c r="X28" s="10" t="s">
        <v>736</v>
      </c>
      <c r="Y28" s="11" t="s">
        <v>106</v>
      </c>
    </row>
    <row r="29" spans="4:25">
      <c r="O29" s="10" t="s">
        <v>737</v>
      </c>
      <c r="P29" s="11" t="s">
        <v>108</v>
      </c>
      <c r="S29" s="10" t="s">
        <v>204</v>
      </c>
      <c r="T29" s="11">
        <v>2</v>
      </c>
      <c r="X29" s="10" t="s">
        <v>738</v>
      </c>
      <c r="Y29" s="11" t="s">
        <v>107</v>
      </c>
    </row>
    <row r="30" spans="4:25">
      <c r="S30" s="10" t="s">
        <v>739</v>
      </c>
      <c r="T30" s="11" t="s">
        <v>105</v>
      </c>
    </row>
    <row r="31" spans="4:25">
      <c r="O31" s="10" t="s">
        <v>417</v>
      </c>
      <c r="P31" s="10"/>
      <c r="S31" s="10" t="s">
        <v>740</v>
      </c>
      <c r="T31" s="11" t="s">
        <v>106</v>
      </c>
    </row>
    <row r="32" spans="4:25">
      <c r="O32" s="10" t="s">
        <v>204</v>
      </c>
      <c r="P32" s="11">
        <v>2</v>
      </c>
      <c r="S32" s="10" t="s">
        <v>741</v>
      </c>
      <c r="T32" s="11" t="s">
        <v>107</v>
      </c>
    </row>
    <row r="33" spans="15:20">
      <c r="O33" s="10" t="s">
        <v>742</v>
      </c>
      <c r="P33" s="11" t="s">
        <v>105</v>
      </c>
      <c r="S33" s="10" t="s">
        <v>743</v>
      </c>
      <c r="T33" s="11" t="s">
        <v>108</v>
      </c>
    </row>
    <row r="34" spans="15:20">
      <c r="O34" s="10" t="s">
        <v>744</v>
      </c>
      <c r="P34" s="11" t="s">
        <v>106</v>
      </c>
    </row>
    <row r="35" spans="15:20">
      <c r="O35" s="10" t="s">
        <v>745</v>
      </c>
      <c r="P35" s="11" t="s">
        <v>107</v>
      </c>
      <c r="S35" s="9" t="s">
        <v>521</v>
      </c>
    </row>
    <row r="36" spans="15:20">
      <c r="O36" s="10" t="s">
        <v>746</v>
      </c>
      <c r="P36" s="11" t="s">
        <v>108</v>
      </c>
      <c r="S36" s="10" t="s">
        <v>204</v>
      </c>
      <c r="T36" s="11">
        <v>2</v>
      </c>
    </row>
    <row r="37" spans="15:20">
      <c r="S37" s="10" t="s">
        <v>747</v>
      </c>
      <c r="T37" s="11" t="s">
        <v>105</v>
      </c>
    </row>
    <row r="38" spans="15:20">
      <c r="O38" s="10" t="s">
        <v>423</v>
      </c>
      <c r="P38" s="10"/>
      <c r="S38" s="10" t="s">
        <v>748</v>
      </c>
      <c r="T38" s="11" t="s">
        <v>106</v>
      </c>
    </row>
    <row r="39" spans="15:20">
      <c r="O39" s="10" t="s">
        <v>204</v>
      </c>
      <c r="P39" s="11">
        <v>2</v>
      </c>
      <c r="S39" s="10" t="s">
        <v>749</v>
      </c>
      <c r="T39" s="11" t="s">
        <v>107</v>
      </c>
    </row>
    <row r="40" spans="15:20">
      <c r="O40" s="10" t="s">
        <v>750</v>
      </c>
      <c r="P40" s="11" t="s">
        <v>105</v>
      </c>
      <c r="S40" s="10" t="s">
        <v>751</v>
      </c>
      <c r="T40" s="11" t="s">
        <v>108</v>
      </c>
    </row>
    <row r="41" spans="15:20">
      <c r="O41" s="10" t="s">
        <v>752</v>
      </c>
      <c r="P41" s="11" t="s">
        <v>106</v>
      </c>
      <c r="S41" s="10" t="s">
        <v>753</v>
      </c>
      <c r="T41" s="11" t="s">
        <v>109</v>
      </c>
    </row>
    <row r="42" spans="15:20">
      <c r="O42" s="10" t="s">
        <v>754</v>
      </c>
      <c r="P42" s="11" t="s">
        <v>107</v>
      </c>
    </row>
    <row r="43" spans="15:20">
      <c r="O43" s="10" t="s">
        <v>755</v>
      </c>
      <c r="P43" s="11" t="s">
        <v>108</v>
      </c>
      <c r="S43" s="10" t="s">
        <v>204</v>
      </c>
      <c r="T43" s="11">
        <v>2</v>
      </c>
    </row>
    <row r="44" spans="15:20">
      <c r="S44" s="10" t="s">
        <v>756</v>
      </c>
      <c r="T44" s="11" t="s">
        <v>105</v>
      </c>
    </row>
    <row r="45" spans="15:20">
      <c r="O45" s="9" t="s">
        <v>429</v>
      </c>
      <c r="S45" s="10" t="s">
        <v>757</v>
      </c>
      <c r="T45" s="11" t="s">
        <v>106</v>
      </c>
    </row>
    <row r="46" spans="15:20">
      <c r="O46" s="10" t="s">
        <v>204</v>
      </c>
      <c r="P46" s="11">
        <v>2</v>
      </c>
      <c r="S46" s="10" t="s">
        <v>758</v>
      </c>
      <c r="T46" s="11" t="s">
        <v>107</v>
      </c>
    </row>
    <row r="47" spans="15:20">
      <c r="O47" s="10" t="s">
        <v>759</v>
      </c>
      <c r="P47" s="11" t="s">
        <v>105</v>
      </c>
      <c r="S47" s="10" t="s">
        <v>760</v>
      </c>
      <c r="T47" s="11" t="s">
        <v>108</v>
      </c>
    </row>
    <row r="48" spans="15:20">
      <c r="O48" s="10" t="s">
        <v>761</v>
      </c>
      <c r="P48" s="11" t="s">
        <v>106</v>
      </c>
      <c r="S48" s="10" t="s">
        <v>762</v>
      </c>
      <c r="T48" s="11" t="s">
        <v>109</v>
      </c>
    </row>
    <row r="49" spans="15:20">
      <c r="O49" s="10" t="s">
        <v>763</v>
      </c>
      <c r="P49" s="11" t="s">
        <v>107</v>
      </c>
    </row>
    <row r="50" spans="15:20">
      <c r="S50" s="9" t="s">
        <v>529</v>
      </c>
    </row>
    <row r="51" spans="15:20">
      <c r="O51" s="10" t="s">
        <v>435</v>
      </c>
      <c r="P51" s="10"/>
      <c r="S51" s="10" t="s">
        <v>204</v>
      </c>
      <c r="T51" s="11">
        <v>2</v>
      </c>
    </row>
    <row r="52" spans="15:20">
      <c r="O52" s="10" t="s">
        <v>204</v>
      </c>
      <c r="P52" s="11">
        <v>2</v>
      </c>
      <c r="S52" s="10" t="s">
        <v>764</v>
      </c>
      <c r="T52" s="11" t="s">
        <v>105</v>
      </c>
    </row>
    <row r="53" spans="15:20">
      <c r="O53" s="10" t="s">
        <v>765</v>
      </c>
      <c r="P53" s="11" t="s">
        <v>105</v>
      </c>
      <c r="S53" s="10" t="s">
        <v>766</v>
      </c>
      <c r="T53" s="11" t="s">
        <v>106</v>
      </c>
    </row>
    <row r="54" spans="15:20">
      <c r="O54" s="10" t="s">
        <v>767</v>
      </c>
      <c r="P54" s="11" t="s">
        <v>106</v>
      </c>
      <c r="S54" s="10" t="s">
        <v>768</v>
      </c>
      <c r="T54" s="11" t="s">
        <v>107</v>
      </c>
    </row>
    <row r="55" spans="15:20">
      <c r="O55" s="10" t="s">
        <v>769</v>
      </c>
      <c r="P55" s="11" t="s">
        <v>107</v>
      </c>
    </row>
    <row r="56" spans="15:20">
      <c r="O56" s="10" t="s">
        <v>770</v>
      </c>
      <c r="P56" s="11" t="s">
        <v>108</v>
      </c>
      <c r="S56" s="10" t="s">
        <v>548</v>
      </c>
      <c r="T56" s="10"/>
    </row>
    <row r="57" spans="15:20">
      <c r="O57" s="10" t="s">
        <v>771</v>
      </c>
      <c r="P57" s="11" t="s">
        <v>109</v>
      </c>
      <c r="S57" s="10" t="s">
        <v>204</v>
      </c>
      <c r="T57" s="11">
        <v>2</v>
      </c>
    </row>
    <row r="58" spans="15:20">
      <c r="S58" s="10" t="s">
        <v>772</v>
      </c>
      <c r="T58" s="11" t="s">
        <v>105</v>
      </c>
    </row>
    <row r="59" spans="15:20">
      <c r="O59" s="10" t="s">
        <v>440</v>
      </c>
      <c r="P59" s="10"/>
      <c r="S59" s="10" t="s">
        <v>773</v>
      </c>
      <c r="T59" s="11" t="s">
        <v>106</v>
      </c>
    </row>
    <row r="60" spans="15:20">
      <c r="O60" s="209" t="s">
        <v>204</v>
      </c>
      <c r="P60" s="11">
        <v>2</v>
      </c>
    </row>
    <row r="61" spans="15:20">
      <c r="O61" s="209" t="s">
        <v>808</v>
      </c>
      <c r="P61" s="11" t="s">
        <v>105</v>
      </c>
      <c r="S61" s="10" t="s">
        <v>204</v>
      </c>
      <c r="T61" s="11">
        <v>2</v>
      </c>
    </row>
    <row r="62" spans="15:20">
      <c r="O62" s="209" t="s">
        <v>809</v>
      </c>
      <c r="P62" s="11" t="s">
        <v>106</v>
      </c>
      <c r="S62" s="10" t="s">
        <v>774</v>
      </c>
      <c r="T62" s="11" t="s">
        <v>105</v>
      </c>
    </row>
    <row r="63" spans="15:20">
      <c r="O63" s="209" t="s">
        <v>810</v>
      </c>
      <c r="P63" s="11" t="s">
        <v>107</v>
      </c>
      <c r="S63" s="10" t="s">
        <v>775</v>
      </c>
      <c r="T63" s="11" t="s">
        <v>106</v>
      </c>
    </row>
    <row r="64" spans="15:20">
      <c r="O64" s="10"/>
      <c r="P64" s="11"/>
      <c r="S64" s="10" t="s">
        <v>776</v>
      </c>
      <c r="T64" s="11" t="s">
        <v>107</v>
      </c>
    </row>
    <row r="65" spans="15:20">
      <c r="O65" s="10" t="s">
        <v>204</v>
      </c>
      <c r="P65" s="11">
        <v>2</v>
      </c>
    </row>
    <row r="66" spans="15:20">
      <c r="O66" s="10" t="s">
        <v>777</v>
      </c>
      <c r="P66" s="11" t="s">
        <v>105</v>
      </c>
      <c r="S66" s="9" t="s">
        <v>558</v>
      </c>
    </row>
    <row r="67" spans="15:20">
      <c r="O67" s="10" t="s">
        <v>778</v>
      </c>
      <c r="P67" s="11" t="s">
        <v>106</v>
      </c>
      <c r="S67" s="10" t="s">
        <v>204</v>
      </c>
      <c r="T67" s="11">
        <v>2</v>
      </c>
    </row>
    <row r="68" spans="15:20">
      <c r="O68" s="10" t="s">
        <v>779</v>
      </c>
      <c r="P68" s="11" t="s">
        <v>107</v>
      </c>
      <c r="S68" s="10" t="s">
        <v>780</v>
      </c>
      <c r="T68" s="11" t="s">
        <v>105</v>
      </c>
    </row>
    <row r="69" spans="15:20">
      <c r="O69" s="10" t="s">
        <v>781</v>
      </c>
      <c r="P69" s="11" t="s">
        <v>108</v>
      </c>
      <c r="S69" s="10" t="s">
        <v>782</v>
      </c>
      <c r="T69" s="11" t="s">
        <v>106</v>
      </c>
    </row>
    <row r="71" spans="15:20">
      <c r="O71" s="10" t="s">
        <v>456</v>
      </c>
      <c r="P71" s="10"/>
      <c r="S71" s="9" t="s">
        <v>571</v>
      </c>
    </row>
    <row r="72" spans="15:20">
      <c r="O72" s="10" t="s">
        <v>204</v>
      </c>
      <c r="P72" s="11">
        <v>2</v>
      </c>
      <c r="S72" s="10" t="s">
        <v>204</v>
      </c>
      <c r="T72" s="11">
        <v>2</v>
      </c>
    </row>
    <row r="73" spans="15:20">
      <c r="O73" s="10" t="s">
        <v>783</v>
      </c>
      <c r="P73" s="11" t="s">
        <v>105</v>
      </c>
      <c r="S73" s="10" t="s">
        <v>784</v>
      </c>
      <c r="T73" s="11" t="s">
        <v>105</v>
      </c>
    </row>
    <row r="74" spans="15:20">
      <c r="O74" s="10" t="s">
        <v>785</v>
      </c>
      <c r="P74" s="11" t="s">
        <v>106</v>
      </c>
      <c r="S74" s="10" t="s">
        <v>786</v>
      </c>
      <c r="T74" s="11" t="s">
        <v>106</v>
      </c>
    </row>
    <row r="75" spans="15:20">
      <c r="O75" s="10" t="s">
        <v>787</v>
      </c>
      <c r="P75" s="11" t="s">
        <v>107</v>
      </c>
      <c r="S75" s="10" t="s">
        <v>788</v>
      </c>
      <c r="T75" s="11" t="s">
        <v>107</v>
      </c>
    </row>
    <row r="76" spans="15:20">
      <c r="O76" s="10" t="s">
        <v>789</v>
      </c>
      <c r="P76" s="11" t="s">
        <v>108</v>
      </c>
      <c r="S76" s="10" t="s">
        <v>790</v>
      </c>
      <c r="T76" s="11" t="s">
        <v>108</v>
      </c>
    </row>
    <row r="77" spans="15:20">
      <c r="O77" s="10" t="s">
        <v>791</v>
      </c>
      <c r="P77" s="11" t="s">
        <v>109</v>
      </c>
      <c r="S77" s="10" t="s">
        <v>792</v>
      </c>
      <c r="T77" s="11" t="s">
        <v>109</v>
      </c>
    </row>
    <row r="79" spans="15:20">
      <c r="O79" s="10" t="s">
        <v>204</v>
      </c>
      <c r="P79" s="11">
        <v>2</v>
      </c>
      <c r="S79" s="9" t="s">
        <v>590</v>
      </c>
    </row>
    <row r="80" spans="15:20">
      <c r="O80" s="10" t="s">
        <v>793</v>
      </c>
      <c r="P80" s="11" t="s">
        <v>105</v>
      </c>
      <c r="S80" s="10" t="s">
        <v>204</v>
      </c>
      <c r="T80" s="11">
        <v>2</v>
      </c>
    </row>
    <row r="81" spans="15:20">
      <c r="O81" s="10" t="s">
        <v>794</v>
      </c>
      <c r="P81" s="11" t="s">
        <v>106</v>
      </c>
      <c r="S81" s="10" t="s">
        <v>795</v>
      </c>
      <c r="T81" s="11" t="s">
        <v>105</v>
      </c>
    </row>
    <row r="82" spans="15:20">
      <c r="O82" s="10" t="s">
        <v>796</v>
      </c>
      <c r="P82" s="11" t="s">
        <v>107</v>
      </c>
      <c r="S82" s="10" t="s">
        <v>797</v>
      </c>
      <c r="T82" s="11" t="s">
        <v>106</v>
      </c>
    </row>
    <row r="83" spans="15:20">
      <c r="O83" s="10" t="s">
        <v>798</v>
      </c>
      <c r="P83" s="11" t="s">
        <v>108</v>
      </c>
    </row>
    <row r="85" spans="15:20">
      <c r="O85" s="10" t="s">
        <v>464</v>
      </c>
      <c r="P85" s="10"/>
    </row>
    <row r="86" spans="15:20">
      <c r="O86" s="10" t="s">
        <v>204</v>
      </c>
      <c r="P86" s="11">
        <v>2</v>
      </c>
    </row>
    <row r="87" spans="15:20">
      <c r="O87" s="10" t="s">
        <v>799</v>
      </c>
      <c r="P87" s="11" t="s">
        <v>105</v>
      </c>
    </row>
    <row r="88" spans="15:20">
      <c r="O88" s="10" t="s">
        <v>800</v>
      </c>
      <c r="P88" s="11" t="s">
        <v>106</v>
      </c>
    </row>
    <row r="89" spans="15:20">
      <c r="O89" s="10" t="s">
        <v>801</v>
      </c>
      <c r="P89" s="11" t="s">
        <v>107</v>
      </c>
    </row>
    <row r="90" spans="15:20">
      <c r="O90" s="10" t="s">
        <v>802</v>
      </c>
      <c r="P90" s="11" t="s">
        <v>108</v>
      </c>
    </row>
    <row r="92" spans="15:20">
      <c r="O92" s="10" t="s">
        <v>470</v>
      </c>
      <c r="P92" s="10"/>
    </row>
    <row r="93" spans="15:20">
      <c r="O93" s="10" t="s">
        <v>204</v>
      </c>
      <c r="P93" s="11">
        <v>2</v>
      </c>
    </row>
    <row r="94" spans="15:20">
      <c r="O94" s="10" t="s">
        <v>803</v>
      </c>
      <c r="P94" s="11" t="s">
        <v>105</v>
      </c>
    </row>
    <row r="95" spans="15:20">
      <c r="O95" s="10" t="s">
        <v>804</v>
      </c>
      <c r="P95" s="11" t="s">
        <v>106</v>
      </c>
    </row>
    <row r="96" spans="15:20">
      <c r="O96" s="10" t="s">
        <v>805</v>
      </c>
      <c r="P96" s="11" t="s">
        <v>107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Introduction</vt:lpstr>
      <vt:lpstr>Results</vt:lpstr>
      <vt:lpstr>Tabulations</vt:lpstr>
      <vt:lpstr>Quality of Life</vt:lpstr>
      <vt:lpstr>Leadership</vt:lpstr>
      <vt:lpstr>Resource Allocation</vt:lpstr>
      <vt:lpstr>Natural World</vt:lpstr>
      <vt:lpstr>Climate And Resilience</vt:lpstr>
      <vt:lpstr>lookup</vt:lpstr>
      <vt:lpstr>Points</vt:lpstr>
      <vt:lpstr>'Climate And Resilience'!Print_Area</vt:lpstr>
      <vt:lpstr>Introduction!Print_Area</vt:lpstr>
      <vt:lpstr>Leadership!Print_Area</vt:lpstr>
      <vt:lpstr>'Natural World'!Print_Area</vt:lpstr>
      <vt:lpstr>'Quality of Life'!Print_Area</vt:lpstr>
      <vt:lpstr>'Resource Allocation'!Print_Area</vt:lpstr>
      <vt:lpstr>YN</vt:lpstr>
    </vt:vector>
  </TitlesOfParts>
  <Manager/>
  <Company>Institute for Sustainable Infrastructure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Kane</dc:creator>
  <cp:keywords/>
  <dc:description/>
  <cp:lastModifiedBy>Michelle Monette</cp:lastModifiedBy>
  <cp:revision/>
  <dcterms:created xsi:type="dcterms:W3CDTF">2018-12-07T19:56:53Z</dcterms:created>
  <dcterms:modified xsi:type="dcterms:W3CDTF">2023-12-20T16:18:19Z</dcterms:modified>
  <cp:category/>
  <cp:contentStatus/>
</cp:coreProperties>
</file>