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265" yWindow="-15" windowWidth="14550" windowHeight="12345" tabRatio="601" firstSheet="2" activeTab="3"/>
  </bookViews>
  <sheets>
    <sheet name="Proposal Summary" sheetId="4" state="hidden" r:id="rId1"/>
    <sheet name="Pkg Cut-Add" sheetId="5" state="hidden" r:id="rId2"/>
    <sheet name="Materials Procurement Plan" sheetId="9" r:id="rId3"/>
    <sheet name="Procurement Estimate" sheetId="7" r:id="rId4"/>
    <sheet name="Waste Estimate" sheetId="19" r:id="rId5"/>
    <sheet name="Unit Prices" sheetId="11" r:id="rId6"/>
    <sheet name="VE List" sheetId="14"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R">#REF!</definedName>
    <definedName name="___bga1">[1]Areas!$K$107</definedName>
    <definedName name="__bga1">[1]Areas!$K$107</definedName>
    <definedName name="_1FEE">#REF!</definedName>
    <definedName name="_2FEE">#REF!</definedName>
    <definedName name="_2GC">#REF!</definedName>
    <definedName name="_2m_0_F" hidden="1">#REF!</definedName>
    <definedName name="_3INS">#REF!</definedName>
    <definedName name="_4GC">#REF!</definedName>
    <definedName name="_6INS">#REF!</definedName>
    <definedName name="_AHU5">#REF!</definedName>
    <definedName name="_bga1">[2]Areas!$K$107</definedName>
    <definedName name="_Fill" localSheetId="6" hidden="1">#REF!</definedName>
    <definedName name="_Fill" hidden="1">'[3]Compare GC''s'!#REF!</definedName>
    <definedName name="_xlnm._FilterDatabase" localSheetId="6" hidden="1">'VE List'!$A$5:$T$5</definedName>
    <definedName name="_gsf2">'[4]Building Breakdown'!#REF!</definedName>
    <definedName name="_Key1" localSheetId="6" hidden="1">#REF!</definedName>
    <definedName name="_Key1" hidden="1">#REF!</definedName>
    <definedName name="_Key2" hidden="1">#REF!</definedName>
    <definedName name="_Order1" hidden="1">255</definedName>
    <definedName name="_Order2" hidden="1">255</definedName>
    <definedName name="_Parse_In" hidden="1">#REF!</definedName>
    <definedName name="_Parse_Out" hidden="1">#REF!</definedName>
    <definedName name="_Sort" localSheetId="6" hidden="1">#REF!</definedName>
    <definedName name="_Sort" hidden="1">#REF!</definedName>
    <definedName name="_VAR1">#REF!</definedName>
    <definedName name="_VAR3">#REF!</definedName>
    <definedName name="A">#REF!</definedName>
    <definedName name="Agency">#REF!</definedName>
    <definedName name="AHU">#REF!</definedName>
    <definedName name="AllEstConstrCost">#REF!</definedName>
    <definedName name="AllPreviousActualFee">#REF!</definedName>
    <definedName name="AllTotalFeeProjected">#REF!</definedName>
    <definedName name="AllYr1ProjectedFee">#REF!</definedName>
    <definedName name="AllYr2ProjectedFee">#REF!</definedName>
    <definedName name="AllYr3ProjectedFee">#REF!</definedName>
    <definedName name="AllYr4ProjectedFee">#REF!</definedName>
    <definedName name="audio">#REF!</definedName>
    <definedName name="Blicense" localSheetId="0">#REF!</definedName>
    <definedName name="Blicense">#REF!</definedName>
    <definedName name="BORDER">#REF!</definedName>
    <definedName name="Bpermit" localSheetId="0">#REF!</definedName>
    <definedName name="Bpermit">#REF!</definedName>
    <definedName name="Brick">'[5]Bid Results - $ per Unit'!$V$8</definedName>
    <definedName name="Brick_Means">'[5]Means 2000'!$F$13</definedName>
    <definedName name="BrickGSF">'[5]Bid Results - $ per Unit'!$W$8</definedName>
    <definedName name="Brisk" localSheetId="0">#REF!</definedName>
    <definedName name="Brisk">#REF!</definedName>
    <definedName name="Bureau_Code">#REF!</definedName>
    <definedName name="CAED">#REF!</definedName>
    <definedName name="CAEE">#REF!</definedName>
    <definedName name="CAPD">#REF!</definedName>
    <definedName name="CAPE">#REF!</definedName>
    <definedName name="Carpet_Means">'[5]Means 2000'!$F$36</definedName>
    <definedName name="Casework">'[5]Bid Results - $ per Unit'!$AG$8</definedName>
    <definedName name="Casework_Means">'[5]Means 2000'!$F$18</definedName>
    <definedName name="CaseworkGSF">'[5]Bid Results - $ per Unit'!$AH$8</definedName>
    <definedName name="catv">#REF!</definedName>
    <definedName name="CCMD">#REF!</definedName>
    <definedName name="CCME">#REF!</definedName>
    <definedName name="CConting">[6]Recap!$F$64</definedName>
    <definedName name="Ceiling_ACT">'[5]Bid Results - $ per Unit'!$BU$8</definedName>
    <definedName name="Ceiling_ACT_Means">'[5]Means 2000'!$F$35</definedName>
    <definedName name="Ceiling_Drywall">'[5]Bid Results - $ per Unit'!$BM$8</definedName>
    <definedName name="Ceiling_Drywall_Means">'[5]Means 2000'!$F$31</definedName>
    <definedName name="Ceramic">'[5]Bid Results - $ per Unit'!$CK$8</definedName>
    <definedName name="Ceramic_Means">'[5]Means 2000'!$F$38</definedName>
    <definedName name="CeramicGSF">'[5]Bid Results - $ per Unit'!$CL$8</definedName>
    <definedName name="CGSD">#REF!</definedName>
    <definedName name="CGSE">#REF!</definedName>
    <definedName name="CinemaSF">[7]Areas!#REF!</definedName>
    <definedName name="Client">#REF!</definedName>
    <definedName name="CMconting" localSheetId="0">#REF!</definedName>
    <definedName name="CMconting">#REF!</definedName>
    <definedName name="CMU">'[5]Bid Results - $ per Unit'!$R$8</definedName>
    <definedName name="CMU_Means">'[5]Means 2000'!$F$12</definedName>
    <definedName name="CMUGSF">'[5]Bid Results - $ per Unit'!$S$8</definedName>
    <definedName name="comm">#REF!</definedName>
    <definedName name="con">#REF!</definedName>
    <definedName name="ConstContingency">[6]Recap!$F$64</definedName>
    <definedName name="ConstructionContingency">#REF!</definedName>
    <definedName name="Contin">[6]Recap!#REF!</definedName>
    <definedName name="CONTINGENCY">[8]Recap!#REF!</definedName>
    <definedName name="CONV">#REF!</definedName>
    <definedName name="COTD">#REF!</definedName>
    <definedName name="COTE">#REF!</definedName>
    <definedName name="COVER">#REF!</definedName>
    <definedName name="CTRD">#REF!</definedName>
    <definedName name="CTRE">#REF!</definedName>
    <definedName name="Curtain">'[5]Bid Results - $ per Unit'!$BI$8</definedName>
    <definedName name="Curtain_Means">'[5]Means 2000'!$F$25</definedName>
    <definedName name="DAED">#REF!</definedName>
    <definedName name="DAEE">#REF!</definedName>
    <definedName name="DAPD">#REF!</definedName>
    <definedName name="DAPE">#REF!</definedName>
    <definedName name="Date" localSheetId="0">#REF!</definedName>
    <definedName name="Date">#REF!</definedName>
    <definedName name="DateD">'[9]New Site'!$C$4</definedName>
    <definedName name="DAVD">#REF!</definedName>
    <definedName name="DAVE">#REF!</definedName>
    <definedName name="DCMD">#REF!</definedName>
    <definedName name="DCME">#REF!</definedName>
    <definedName name="Dconting" localSheetId="0">#REF!</definedName>
    <definedName name="Dconting" localSheetId="6">#REF!</definedName>
    <definedName name="Dconting">#REF!</definedName>
    <definedName name="DContingency">[6]Recap!$F$62</definedName>
    <definedName name="DCVD">#REF!</definedName>
    <definedName name="DCVE">#REF!</definedName>
    <definedName name="Demo">'[5]Bid Results - $ per Unit'!$G$8</definedName>
    <definedName name="DemoGSF">'[5]Bid Results - $ per Unit'!$H$8</definedName>
    <definedName name="Demolition_Mean">'[5]Means 2000'!$F$7</definedName>
    <definedName name="Department_Types">'[10]Department Types'!$B$2:$B$104</definedName>
    <definedName name="DesignContingency">#REF!</definedName>
    <definedName name="DETAIL">#REF!</definedName>
    <definedName name="detl">#REF!</definedName>
    <definedName name="DGSD">#REF!</definedName>
    <definedName name="DGSE">#REF!</definedName>
    <definedName name="DGVD">#REF!</definedName>
    <definedName name="DGVE">#REF!</definedName>
    <definedName name="Doors_Aluminum_Means">'[5]Means 2000'!$F$28</definedName>
    <definedName name="Doors_Glass_Means">'[5]Means 2000'!$F$29</definedName>
    <definedName name="Doors_Install">'[5]Bid Results - $ per Unit'!$BA$8</definedName>
    <definedName name="Doors_InstallGSF">'[5]Bid Results - $ per Unit'!$BB$8</definedName>
    <definedName name="Doors_Metal_Means">'[5]Means 2000'!$F$27</definedName>
    <definedName name="Doors_Supply">'[5]Bid Results - $ per Unit'!$AW$8</definedName>
    <definedName name="Doors_SupplyGSF">'[5]Bid Results - $ per Unit'!$AX$8</definedName>
    <definedName name="Doors_Wood_Means">'[5]Means 2000'!$F$26</definedName>
    <definedName name="DOTD">#REF!</definedName>
    <definedName name="DOTE">#REF!</definedName>
    <definedName name="DrywallGSF">'[5]Bid Results - $ per Unit'!$BZ$8</definedName>
    <definedName name="DSLR">#REF!</definedName>
    <definedName name="DTRD">#REF!</definedName>
    <definedName name="DTRE">#REF!</definedName>
    <definedName name="DVED">#REF!</definedName>
    <definedName name="DVEE">#REF!</definedName>
    <definedName name="edge">#REF!</definedName>
    <definedName name="ele">#REF!</definedName>
    <definedName name="ELEC">#REF!</definedName>
    <definedName name="Electrical">'[5]Bid Results - $ per Unit'!$DU$8</definedName>
    <definedName name="Electrical_Means">'[5]Means 2000'!$F$52</definedName>
    <definedName name="Elevator_Hydraulic">'[5]Bid Results - $ per Unit'!$DA$8</definedName>
    <definedName name="Elevator_Hydraulic_Means">'[5]Means 2000'!$F$44</definedName>
    <definedName name="Elevator_HydraulicGSF">'[5]Bid Results - $ per Unit'!$DB$8</definedName>
    <definedName name="Elevator_Traction">'[5]Bid Results - $ per Unit'!$DE$8</definedName>
    <definedName name="Elevator_Traction_Means">'[5]Means 2000'!$F$45</definedName>
    <definedName name="Elevator_TractionGSF">'[5]Bid Results - $ per Unit'!$DF$8</definedName>
    <definedName name="emer">#REF!</definedName>
    <definedName name="EQUIPMENT">[11]Backup!#REF!</definedName>
    <definedName name="escalation" localSheetId="0">#REF!</definedName>
    <definedName name="escalation">#REF!</definedName>
    <definedName name="EscalationContingency">#REF!</definedName>
    <definedName name="EscContingency">[6]Recap!$F$63</definedName>
    <definedName name="EST">#REF!</definedName>
    <definedName name="EstConstrCost">#REF!</definedName>
    <definedName name="ex">#REF!</definedName>
    <definedName name="Excel_BuiltIn_Print_Area_4">#REF!</definedName>
    <definedName name="Excel_BuiltIn_Print_Area_5">#REF!</definedName>
    <definedName name="Excel_BuiltIn_Print_Area_6">#REF!</definedName>
    <definedName name="Excel_BuiltIn_Print_Titles_4">#REF!</definedName>
    <definedName name="Excel_BuiltIn_Print_Titles_6">#REF!</definedName>
    <definedName name="EXT">#REF!</definedName>
    <definedName name="fa">#REF!</definedName>
    <definedName name="FDN">#REF!</definedName>
    <definedName name="Fee" localSheetId="0">#REF!</definedName>
    <definedName name="Fee">#REF!</definedName>
    <definedName name="Fire">'[5]Bid Results - $ per Unit'!$DQ$8</definedName>
    <definedName name="Fire_Means">'[5]Means 2000'!$F$49</definedName>
    <definedName name="FirmCapYr1">#REF!</definedName>
    <definedName name="FirmCapYr2">#REF!</definedName>
    <definedName name="FirmCapYr3">#REF!</definedName>
    <definedName name="FirmCapYr4">#REF!</definedName>
    <definedName name="FirmCommitYr1">#REF!</definedName>
    <definedName name="FirmCommitYr2">#REF!</definedName>
    <definedName name="FirmCommitYr3">#REF!</definedName>
    <definedName name="FirmCommitYr4">#REF!</definedName>
    <definedName name="FirmMaxAnnualFee">#REF!</definedName>
    <definedName name="Flooring">'[5]Bid Results - $ per Unit'!$CC$8</definedName>
    <definedName name="FlooringGSF">'[5]Bid Results - $ per Unit'!$CD$8</definedName>
    <definedName name="foundn">#REF!</definedName>
    <definedName name="front">#REF!</definedName>
    <definedName name="GBA">[11]Areas!$K$107</definedName>
    <definedName name="GC">#REF!</definedName>
    <definedName name="GCs">#REF!</definedName>
    <definedName name="genc">#REF!</definedName>
    <definedName name="Gliability" localSheetId="0">#REF!</definedName>
    <definedName name="Gliability">#REF!</definedName>
    <definedName name="GREEN">#N/A</definedName>
    <definedName name="grsf">#REF!</definedName>
    <definedName name="gsa">#REF!</definedName>
    <definedName name="GSF">#REF!</definedName>
    <definedName name="gta">#REF!</definedName>
    <definedName name="HCCapYr1" localSheetId="6">#REF!</definedName>
    <definedName name="HCCapYr1">#REF!</definedName>
    <definedName name="HCCapYr2">#REF!</definedName>
    <definedName name="HCCapYr3">#REF!</definedName>
    <definedName name="HCCapYr4">#REF!</definedName>
    <definedName name="HCCommitYr1">#REF!</definedName>
    <definedName name="HCCommitYr2">#REF!</definedName>
    <definedName name="HCCommitYr3">#REF!</definedName>
    <definedName name="HCCommitYr4">#REF!</definedName>
    <definedName name="HCEstConstrCost">#REF!</definedName>
    <definedName name="HCMaxAnnualFee">#REF!</definedName>
    <definedName name="HCPreviousActualFee">#REF!</definedName>
    <definedName name="HCTotalFeeProjected">#REF!</definedName>
    <definedName name="HCYr1ProjectedFee">#REF!</definedName>
    <definedName name="HCYr2ProjectedFee">#REF!</definedName>
    <definedName name="HCYr3ProjectedFee">#REF!</definedName>
    <definedName name="HCYr4ProjectedFee">#REF!</definedName>
    <definedName name="HVAC">'[5]Bid Results - $ per Unit'!$DI$8</definedName>
    <definedName name="HVAC_Means">'[5]Means 2000'!$F$47</definedName>
    <definedName name="INFLAT">#REF!</definedName>
    <definedName name="INS">#REF!</definedName>
    <definedName name="insr">#REF!</definedName>
    <definedName name="INT">#REF!</definedName>
    <definedName name="INTERIORS">[11]Backup!#REF!</definedName>
    <definedName name="intr">#REF!</definedName>
    <definedName name="KPCapYr1">#REF!</definedName>
    <definedName name="KPCapYr2">#REF!</definedName>
    <definedName name="KPCapYr3">#REF!</definedName>
    <definedName name="KPCapYr4">#REF!</definedName>
    <definedName name="KPCommitYr1">#REF!</definedName>
    <definedName name="KPCommitYr2">#REF!</definedName>
    <definedName name="KPCommitYr3">#REF!</definedName>
    <definedName name="KPCommitYr4">#REF!</definedName>
    <definedName name="KPEstConstrCost">#REF!</definedName>
    <definedName name="KPMaxAnnualFee">#REF!</definedName>
    <definedName name="KPPreviousActualFee">#REF!</definedName>
    <definedName name="KPTotalFeeProjected">#REF!</definedName>
    <definedName name="KPYr1ProjectedFee">#REF!</definedName>
    <definedName name="KPYr2ProjectedFee">#REF!</definedName>
    <definedName name="KPYr3ProjectedFee">#REF!</definedName>
    <definedName name="KPYr4ProjectedFee">#REF!</definedName>
    <definedName name="Laborer">'[12]Personnel Rates'!#REF!</definedName>
    <definedName name="Level1">'[12]Personnel Rates'!#REF!</definedName>
    <definedName name="Level2">'[12]Personnel Rates'!#REF!</definedName>
    <definedName name="Level3">'[12]Personnel Rates'!#REF!</definedName>
    <definedName name="Level4">'[12]Personnel Rates'!#REF!</definedName>
    <definedName name="Level5">'[12]Personnel Rates'!#REF!</definedName>
    <definedName name="Level6">'[12]Personnel Rates'!#REF!</definedName>
    <definedName name="Level7">'[12]Personnel Rates'!#REF!</definedName>
    <definedName name="light">#REF!</definedName>
    <definedName name="lp">#REF!</definedName>
    <definedName name="MarketSector">#REF!</definedName>
    <definedName name="MaxRow">#REF!</definedName>
    <definedName name="MECH">#REF!</definedName>
    <definedName name="mechan">#REF!</definedName>
    <definedName name="Painting">'[5]Bid Results - $ per Unit'!$CO$8</definedName>
    <definedName name="Painting_Means">'[5]Means 2000'!$F$39</definedName>
    <definedName name="PaintingGSF">'[5]Bid Results - $ per Unit'!$CP$8</definedName>
    <definedName name="ParkingSF">[13]Gyp!#REF!</definedName>
    <definedName name="Partition1Hr_Means">'[5]Means 2000'!$F$33</definedName>
    <definedName name="PartitionNR_Means">'[5]Means 2000'!$F$34</definedName>
    <definedName name="Plumbing">'[5]Bid Results - $ per Unit'!$DM$8</definedName>
    <definedName name="Plumbing_Means">'[5]Means 2000'!$F$48</definedName>
    <definedName name="power">#REF!</definedName>
    <definedName name="PPbond" localSheetId="0">#REF!</definedName>
    <definedName name="PPbond">#REF!</definedName>
    <definedName name="PrevActualFee">#REF!</definedName>
    <definedName name="PRINT">#REF!</definedName>
    <definedName name="_xlnm.Print_Area" localSheetId="3">'Procurement Estimate'!$A$1:$K$178</definedName>
    <definedName name="_xlnm.Print_Area" localSheetId="6">'VE List'!$B$2:$X$189</definedName>
    <definedName name="_xlnm.Print_Area">#N/A</definedName>
    <definedName name="Print_Area_MI">#REF!</definedName>
    <definedName name="_xlnm.Print_Titles" localSheetId="6">'VE List'!$1:$5</definedName>
    <definedName name="ptube" localSheetId="6">'[14]Master Summary'!#REF!</definedName>
    <definedName name="ptube">'[14]Master Summary'!#REF!</definedName>
    <definedName name="Rebar_Install">'[5]Bid Results - $ per Unit'!$M$8</definedName>
    <definedName name="Rebar_Install_Means">'[5]Means 2000'!$F$10</definedName>
    <definedName name="Rebar_InstallGSF">'[5]Bid Results - $ per Unit'!$O$8</definedName>
    <definedName name="Rebar_Supply">'[5]Bid Results - $ per Unit'!$L$8</definedName>
    <definedName name="Rebar_Supply_Means">'[5]Means 2000'!$F$9</definedName>
    <definedName name="Rebar_SupplyGSF">'[5]Bid Results - $ per Unit'!$N$8</definedName>
    <definedName name="_xlnm.Recorder">#REF!</definedName>
    <definedName name="ResidentialSF">[7]Areas!#REF!</definedName>
    <definedName name="ro">#REF!</definedName>
    <definedName name="ROOF">#REF!</definedName>
    <definedName name="Roofing_BU">'[5]Bid Results - $ per Unit'!$AK$8</definedName>
    <definedName name="Roofing_BU_Means">'[5]Means 2000'!$F$20</definedName>
    <definedName name="Roofing_BUGSF">'[5]Bid Results - $ per Unit'!$AL$8</definedName>
    <definedName name="Roofing_Membrane">'[5]Bid Results - $ per Unit'!$AO$8</definedName>
    <definedName name="Roofing_Membrane_Means">'[5]Means 2000'!$F$21</definedName>
    <definedName name="Roofing_MembraneGSF">'[5]Bid Results - $ per Unit'!$AP$8</definedName>
    <definedName name="Roofing_Preformed">'[5]Bid Results - $ per Unit'!$AS$8</definedName>
    <definedName name="Roofing_PreformedGSF">'[5]Bid Results - $ per Unit'!$AT$8</definedName>
    <definedName name="ros">#REF!</definedName>
    <definedName name="ROW">#REF!</definedName>
    <definedName name="ROWS">#REF!</definedName>
    <definedName name="SalemSF">#REF!</definedName>
    <definedName name="security">#REF!</definedName>
    <definedName name="service">#REF!</definedName>
    <definedName name="SERVICES">[11]Backup!#REF!</definedName>
    <definedName name="SHELL">[11]Backup!#REF!</definedName>
    <definedName name="sit">#REF!</definedName>
    <definedName name="SITE" localSheetId="6">#REF!</definedName>
    <definedName name="SITE">#N/A</definedName>
    <definedName name="site_ac">#REF!</definedName>
    <definedName name="Site_Lighting_Means">'[5]Means 2000'!$F$51</definedName>
    <definedName name="site_sf">#REF!</definedName>
    <definedName name="sitecomm">#REF!</definedName>
    <definedName name="Soffits_Means">'[5]Means 2000'!$F$32</definedName>
    <definedName name="SPECIAL">[11]Backup!#REF!</definedName>
    <definedName name="Steel_Install">'[5]Bid Results - $ per Unit'!$AB$8</definedName>
    <definedName name="Steel_InstallGSF">'[5]Bid Results - $ per Unit'!$AD$8</definedName>
    <definedName name="Steel_Supply">'[5]Bid Results - $ per Unit'!$AA$8</definedName>
    <definedName name="Steel_SupplyGSF">'[5]Bid Results - $ per Unit'!$AC$8</definedName>
    <definedName name="Storefront">'[5]Bid Results - $ per Unit'!$BE$8</definedName>
    <definedName name="Storefront_Means">'[5]Means 2000'!$F$24</definedName>
    <definedName name="StorefrontGSF">'[5]Bid Results - $ per Unit'!$BF$8</definedName>
    <definedName name="SUB">#REF!</definedName>
    <definedName name="SubGuard" localSheetId="0">#REF!</definedName>
    <definedName name="SubGuard">#REF!</definedName>
    <definedName name="subs">#REF!</definedName>
    <definedName name="SUBSTRUCTURE">[11]Backup!#REF!</definedName>
    <definedName name="SUP">#REF!</definedName>
    <definedName name="supp">#REF!</definedName>
    <definedName name="TNGRtax" localSheetId="0">#REF!</definedName>
    <definedName name="TNGRtax">#REF!</definedName>
    <definedName name="Toilet_Accessories">'[5]Bid Results - $ per Unit'!$CW$8</definedName>
    <definedName name="Toilet_AccessoriesGSF">'[5]Bid Results - $ per Unit'!$CX$8</definedName>
    <definedName name="Toilet_Partitions">'[5]Bid Results - $ per Unit'!$CS$8</definedName>
    <definedName name="Toilet_PartitionsGSF">'[5]Bid Results - $ per Unit'!$CT$8</definedName>
    <definedName name="TotalFeeProjected">#REF!</definedName>
    <definedName name="TRAV">#REF!</definedName>
    <definedName name="TSLR">#REF!</definedName>
    <definedName name="tube">'[14]Master Summary'!#REF!</definedName>
    <definedName name="VARA">#REF!</definedName>
    <definedName name="VARC">#REF!</definedName>
    <definedName name="VCT_Means">'[5]Means 2000'!$F$37</definedName>
    <definedName name="VCTGSF">'[5]Bid Results - $ per Unit'!$CH$8</definedName>
    <definedName name="Wall_Covering_Means">'[5]Means 2000'!$F$40</definedName>
    <definedName name="Yr1ProjectedFee" localSheetId="6">#REF!</definedName>
    <definedName name="Yr1ProjectedFee">#REF!</definedName>
    <definedName name="Yr2ProjectedFee">#REF!</definedName>
    <definedName name="Yr3ProjectedFee">#REF!</definedName>
    <definedName name="Yr4ProjectedFee">#REF!</definedName>
    <definedName name="Z_40E5D3D9_DEE1_4875_8B1D_105FD1FFE668_.wvu.PrintArea" localSheetId="0" hidden="1">'Proposal Summary'!$A$1:$G$52</definedName>
    <definedName name="Z_40E5D3D9_DEE1_4875_8B1D_105FD1FFE668_.wvu.PrintTitles" localSheetId="0" hidden="1">'Proposal Summary'!#REF!</definedName>
    <definedName name="Z_44AE2428_6D29_41CE_8BE6_3A12B4ABC13E_.wvu.Cols" localSheetId="3" hidden="1">'Procurement Estimate'!#REF!</definedName>
    <definedName name="Z_4AFF85D7_700F_41D0_A434_0D59D22975B4_.wvu.PrintArea" localSheetId="0" hidden="1">'Proposal Summary'!$A$1:$G$52</definedName>
    <definedName name="Z_4AFF85D7_700F_41D0_A434_0D59D22975B4_.wvu.PrintTitles" localSheetId="0" hidden="1">'Proposal Summary'!#REF!</definedName>
    <definedName name="Z_4E61A75E_C6FA_40FD_8F1B_AA0FC8CA2F02_.wvu.PrintArea" localSheetId="1" hidden="1">'Pkg Cut-Add'!$B$1:$H$34</definedName>
    <definedName name="Z_52DABE16_4240_4E8C_9CA5_9C640A97FB75_.wvu.PrintArea" localSheetId="1" hidden="1">'Pkg Cut-Add'!$B$1:$H$34</definedName>
    <definedName name="Z_52DABE16_4240_4E8C_9CA5_9C640A97FB75_.wvu.PrintArea" localSheetId="3" hidden="1">'Procurement Estimate'!$A$1:$K$179</definedName>
    <definedName name="Z_52DABE16_4240_4E8C_9CA5_9C640A97FB75_.wvu.PrintTitles" localSheetId="3" hidden="1">'Procurement Estimate'!$1:$2</definedName>
    <definedName name="Z_6B97F49A_D225_4B61_8EEB_F37D2C31B2B4_.wvu.PrintArea" localSheetId="0" hidden="1">'Proposal Summary'!$A$1:$G$52</definedName>
    <definedName name="Z_8106AB06_68FE_4DDC_9F5C_274E62FACF05_.wvu.PrintArea" localSheetId="0" hidden="1">'Proposal Summary'!$A$1:$G$52</definedName>
    <definedName name="Z_C3B510EE_B437_4C69_A322_0726FEDECDFA_.wvu.Cols" localSheetId="1" hidden="1">'Pkg Cut-Add'!#REF!</definedName>
    <definedName name="Z_C99F132B_0D33_4B4E_8A4C_0DE2B6C7BABE_.wvu.Cols" localSheetId="3" hidden="1">'Procurement Estimate'!#REF!</definedName>
    <definedName name="Z_CCFE5B3E_5EDD_4063_96A0_B197B61A9551_.wvu.PrintArea" localSheetId="0" hidden="1">'Proposal Summary'!$A$1:$G$48</definedName>
    <definedName name="Z_CCFE5B3E_5EDD_4063_96A0_B197B61A9551_.wvu.PrintTitles" localSheetId="0" hidden="1">'Proposal Summary'!#REF!</definedName>
    <definedName name="Z_F9B0E021_530B_4D97_A767_F06D45031BB4_.wvu.PrintArea" localSheetId="1" hidden="1">'Pkg Cut-Add'!$B$1:$H$34</definedName>
    <definedName name="Z_F9B0E021_530B_4D97_A767_F06D45031BB4_.wvu.PrintArea" localSheetId="3" hidden="1">'Procurement Estimate'!$A$1:$K$179</definedName>
    <definedName name="Z_F9B0E021_530B_4D97_A767_F06D45031BB4_.wvu.PrintArea" localSheetId="0" hidden="1">'Proposal Summary'!$A$1:$G$53</definedName>
  </definedNames>
  <calcPr calcId="145621"/>
  <customWorkbookViews>
    <customWorkbookView name="Dane Wooley - Personal View" guid="{44AE2428-6D29-41CE-8BE6-3A12B4ABC13E}" mergeInterval="0" personalView="1" maximized="1" windowWidth="1280" windowHeight="771" tabRatio="900" activeSheetId="1"/>
    <customWorkbookView name="Skanska - Personal View" guid="{C99F132B-0D33-4B4E-8A4C-0DE2B6C7BABE}" mergeInterval="0" personalView="1" maximized="1" xWindow="1" yWindow="1" windowWidth="1276" windowHeight="486" tabRatio="655" activeSheetId="3"/>
    <customWorkbookView name="bob.kovacs - Personal View" guid="{250C47CD-C951-45B0-85B8-EF6851D1622A}" mergeInterval="0" personalView="1" maximized="1" xWindow="1" yWindow="1" windowWidth="1280" windowHeight="535" tabRatio="655" activeSheetId="7"/>
    <customWorkbookView name="jonnie.henderson - Personal View" guid="{37B2A369-D50B-41EB-B5C9-913B0CCD511F}" mergeInterval="0" personalView="1" maximized="1" windowWidth="1276" windowHeight="836" activeSheetId="2"/>
    <customWorkbookView name="pierre.lamb - Personal View" guid="{1800E068-3140-4783-BA64-4EF7E42EC8AB}" mergeInterval="0" personalView="1" xWindow="5" yWindow="24" windowWidth="1266" windowHeight="655" activeSheetId="2"/>
    <customWorkbookView name="USER - Personal View" guid="{52DABE16-4240-4E8C-9CA5-9C640A97FB75}" mergeInterval="0" personalView="1" maximized="1" windowWidth="1020" windowHeight="504" activeSheetId="2" showComments="commIndAndComment"/>
    <customWorkbookView name="Evertz, Kevin - Personal View" guid="{F9B0E021-530B-4D97-A767-F06D45031BB4}" mergeInterval="0" personalView="1" maximized="1" xWindow="1" yWindow="1" windowWidth="1248" windowHeight="713" tabRatio="655" activeSheetId="7"/>
    <customWorkbookView name="local-admin - Personal View" guid="{F1A6D050-DA21-4A77-B24F-7B069B700D3A}" mergeInterval="0" personalView="1" maximized="1" xWindow="1" yWindow="1" windowWidth="1920" windowHeight="755" tabRatio="655" activeSheetId="7"/>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00" i="19" l="1"/>
  <c r="K99" i="19"/>
  <c r="F94" i="19"/>
  <c r="I146" i="19" l="1"/>
  <c r="I148" i="19"/>
  <c r="I147" i="19"/>
  <c r="I81" i="19"/>
  <c r="I87" i="19"/>
  <c r="I88" i="19"/>
  <c r="I82" i="19"/>
  <c r="I83" i="19"/>
  <c r="I84" i="19"/>
  <c r="I80" i="19"/>
  <c r="I72" i="19"/>
  <c r="I67" i="19"/>
  <c r="I66" i="19"/>
  <c r="I71" i="19"/>
  <c r="I39" i="19"/>
  <c r="I41" i="19"/>
  <c r="I43" i="19"/>
  <c r="I44" i="19"/>
  <c r="I45" i="19"/>
  <c r="I36" i="19"/>
  <c r="I58" i="19"/>
  <c r="I59" i="19"/>
  <c r="I60" i="19"/>
  <c r="I61" i="19"/>
  <c r="I62" i="19"/>
  <c r="I63" i="19"/>
  <c r="I64" i="19"/>
  <c r="I65" i="19"/>
  <c r="I57" i="19"/>
  <c r="I100" i="19" l="1"/>
  <c r="I105" i="19"/>
  <c r="I106" i="19"/>
  <c r="I107" i="19"/>
  <c r="I108" i="19"/>
  <c r="I109" i="19"/>
  <c r="I110" i="19"/>
  <c r="I99" i="19"/>
  <c r="A14" i="7" l="1"/>
  <c r="B14" i="7"/>
  <c r="A47" i="7"/>
  <c r="B47" i="7"/>
  <c r="A93" i="7"/>
  <c r="B93" i="7"/>
  <c r="A114" i="7"/>
  <c r="B114" i="7"/>
  <c r="A124" i="7"/>
  <c r="B124" i="7"/>
  <c r="A145" i="7"/>
  <c r="B145" i="7"/>
  <c r="A157" i="7"/>
  <c r="B157" i="7"/>
  <c r="A177" i="7"/>
  <c r="B177" i="7"/>
  <c r="A190" i="7"/>
  <c r="B190" i="7"/>
  <c r="A200" i="7"/>
  <c r="B200" i="7"/>
  <c r="F17" i="9" l="1"/>
  <c r="F19" i="9" s="1"/>
  <c r="C17" i="9"/>
  <c r="B16" i="9"/>
  <c r="B15" i="9"/>
  <c r="B14" i="9"/>
  <c r="B13" i="9"/>
  <c r="F125" i="19" s="1"/>
  <c r="B12" i="9"/>
  <c r="F113" i="19" s="1"/>
  <c r="B11" i="9"/>
  <c r="B10" i="9"/>
  <c r="F75" i="19" s="1"/>
  <c r="B9" i="9"/>
  <c r="F31" i="19" s="1"/>
  <c r="B8" i="9"/>
  <c r="F10" i="19" s="1"/>
  <c r="B7" i="9"/>
  <c r="K124" i="7"/>
  <c r="J124" i="7"/>
  <c r="I124" i="7"/>
  <c r="I200" i="7"/>
  <c r="J200" i="7"/>
  <c r="K200" i="7"/>
  <c r="I190" i="7"/>
  <c r="K190" i="7"/>
  <c r="J190" i="7"/>
  <c r="J171" i="7"/>
  <c r="K171" i="7"/>
  <c r="K167" i="7"/>
  <c r="K173" i="7"/>
  <c r="G172" i="7"/>
  <c r="I172" i="7" s="1"/>
  <c r="J172" i="7" s="1"/>
  <c r="K172" i="7" s="1"/>
  <c r="K145" i="7"/>
  <c r="J106" i="7"/>
  <c r="J104" i="7"/>
  <c r="J9" i="7"/>
  <c r="K12" i="7"/>
  <c r="K9" i="7"/>
  <c r="K8" i="7"/>
  <c r="J8" i="7"/>
  <c r="J7" i="7"/>
  <c r="J10" i="7"/>
  <c r="I12" i="7"/>
  <c r="I11" i="7"/>
  <c r="I10" i="7"/>
  <c r="I9" i="7"/>
  <c r="I8" i="7"/>
  <c r="I7" i="7"/>
  <c r="K47" i="7"/>
  <c r="J47" i="7"/>
  <c r="I18" i="7"/>
  <c r="I47" i="7" s="1"/>
  <c r="X122" i="14"/>
  <c r="X147" i="14"/>
  <c r="X187" i="14"/>
  <c r="K185" i="14"/>
  <c r="K184" i="14"/>
  <c r="K183" i="14"/>
  <c r="K182" i="14"/>
  <c r="K181" i="14"/>
  <c r="K180" i="14"/>
  <c r="K179" i="14"/>
  <c r="K178" i="14"/>
  <c r="K177" i="14"/>
  <c r="K176" i="14"/>
  <c r="K175" i="14"/>
  <c r="K174" i="14"/>
  <c r="K173" i="14"/>
  <c r="K172" i="14"/>
  <c r="K169" i="14"/>
  <c r="H169" i="14" s="1"/>
  <c r="L169" i="14"/>
  <c r="G168" i="14"/>
  <c r="K168" i="14"/>
  <c r="H168" i="14" s="1"/>
  <c r="L168" i="14"/>
  <c r="K166" i="14"/>
  <c r="L166" i="14" s="1"/>
  <c r="H166" i="14"/>
  <c r="K165" i="14"/>
  <c r="I165" i="14" s="1"/>
  <c r="K164" i="14"/>
  <c r="K163" i="14"/>
  <c r="K162" i="14"/>
  <c r="L162" i="14" s="1"/>
  <c r="I162" i="14" s="1"/>
  <c r="L163" i="14"/>
  <c r="I163" i="14"/>
  <c r="K161" i="14"/>
  <c r="H161" i="14"/>
  <c r="K160" i="14"/>
  <c r="L160" i="14"/>
  <c r="H160" i="14" s="1"/>
  <c r="K159" i="14"/>
  <c r="L159" i="14"/>
  <c r="H159" i="14"/>
  <c r="K158" i="14"/>
  <c r="Q158" i="14" s="1"/>
  <c r="G157" i="14"/>
  <c r="K157" i="14"/>
  <c r="Q157" i="14" s="1"/>
  <c r="K156" i="14"/>
  <c r="L156" i="14"/>
  <c r="H156" i="14"/>
  <c r="K155" i="14"/>
  <c r="L155" i="14" s="1"/>
  <c r="H155" i="14" s="1"/>
  <c r="K154" i="14"/>
  <c r="L154" i="14" s="1"/>
  <c r="H154" i="14" s="1"/>
  <c r="K153" i="14"/>
  <c r="L153" i="14"/>
  <c r="H153" i="14" s="1"/>
  <c r="K152" i="14"/>
  <c r="L152" i="14"/>
  <c r="H152" i="14"/>
  <c r="K148" i="14"/>
  <c r="I148" i="14" s="1"/>
  <c r="K147" i="14"/>
  <c r="H147" i="14" s="1"/>
  <c r="N147" i="14"/>
  <c r="K146" i="14"/>
  <c r="L146" i="14" s="1"/>
  <c r="H146" i="14" s="1"/>
  <c r="K145" i="14"/>
  <c r="H145" i="14" s="1"/>
  <c r="K144" i="14"/>
  <c r="H144" i="14"/>
  <c r="L143" i="14"/>
  <c r="K142" i="14"/>
  <c r="K141" i="14"/>
  <c r="H141" i="14"/>
  <c r="K140" i="14"/>
  <c r="L140" i="14" s="1"/>
  <c r="K139" i="14"/>
  <c r="H139" i="14" s="1"/>
  <c r="L139" i="14"/>
  <c r="H138" i="14"/>
  <c r="G137" i="14"/>
  <c r="G138" i="14" s="1"/>
  <c r="K138" i="14" s="1"/>
  <c r="K137" i="14"/>
  <c r="H137" i="14"/>
  <c r="K136" i="14"/>
  <c r="H136" i="14"/>
  <c r="K135" i="14"/>
  <c r="H135" i="14"/>
  <c r="K134" i="14"/>
  <c r="G133" i="14"/>
  <c r="K133" i="14"/>
  <c r="H133" i="14"/>
  <c r="K132" i="14"/>
  <c r="H132" i="14" s="1"/>
  <c r="K131" i="14"/>
  <c r="H131" i="14"/>
  <c r="K129" i="14"/>
  <c r="H129" i="14" s="1"/>
  <c r="K128" i="14"/>
  <c r="H128" i="14"/>
  <c r="K127" i="14"/>
  <c r="K126" i="14"/>
  <c r="K125" i="14"/>
  <c r="K124" i="14"/>
  <c r="H124" i="14" s="1"/>
  <c r="L124" i="14"/>
  <c r="K123" i="14"/>
  <c r="L123" i="14"/>
  <c r="H123" i="14"/>
  <c r="K122" i="14"/>
  <c r="H122" i="14" s="1"/>
  <c r="K121" i="14"/>
  <c r="H121" i="14"/>
  <c r="K120" i="14"/>
  <c r="L119" i="14"/>
  <c r="L115" i="14"/>
  <c r="H119" i="14"/>
  <c r="K118" i="14"/>
  <c r="H118" i="14" s="1"/>
  <c r="G118" i="14"/>
  <c r="K117" i="14"/>
  <c r="H117" i="14" s="1"/>
  <c r="K116" i="14"/>
  <c r="G116" i="14" s="1"/>
  <c r="H116" i="14"/>
  <c r="E114" i="14"/>
  <c r="K114" i="14" s="1"/>
  <c r="K113" i="14"/>
  <c r="K112" i="14"/>
  <c r="K111" i="14"/>
  <c r="J111" i="14"/>
  <c r="K110" i="14"/>
  <c r="H110" i="14"/>
  <c r="K109" i="14"/>
  <c r="J109" i="14" s="1"/>
  <c r="K108" i="14"/>
  <c r="J108" i="14"/>
  <c r="K107" i="14"/>
  <c r="L107" i="14" s="1"/>
  <c r="H107" i="14"/>
  <c r="K106" i="14"/>
  <c r="K105" i="14"/>
  <c r="G103" i="14"/>
  <c r="E103" i="14"/>
  <c r="K101" i="14"/>
  <c r="L101" i="14" s="1"/>
  <c r="E100" i="14"/>
  <c r="K100" i="14"/>
  <c r="L100" i="14" s="1"/>
  <c r="K99" i="14"/>
  <c r="L99" i="14"/>
  <c r="H99" i="14"/>
  <c r="G98" i="14"/>
  <c r="K98" i="14"/>
  <c r="G97" i="14"/>
  <c r="K97" i="14"/>
  <c r="L97" i="14" s="1"/>
  <c r="K96" i="14"/>
  <c r="G95" i="14"/>
  <c r="K95" i="14" s="1"/>
  <c r="N95" i="14" s="1"/>
  <c r="K94" i="14"/>
  <c r="K93" i="14"/>
  <c r="H93" i="14" s="1"/>
  <c r="K92" i="14"/>
  <c r="H92" i="14"/>
  <c r="K91" i="14"/>
  <c r="H91" i="14" s="1"/>
  <c r="K90" i="14"/>
  <c r="I90" i="14"/>
  <c r="K89" i="14"/>
  <c r="I89" i="14"/>
  <c r="K88" i="14"/>
  <c r="L88" i="14"/>
  <c r="H88" i="14"/>
  <c r="E87" i="14"/>
  <c r="K87" i="14"/>
  <c r="L87" i="14"/>
  <c r="I87" i="14"/>
  <c r="K86" i="14"/>
  <c r="G85" i="14"/>
  <c r="K85" i="14"/>
  <c r="P85" i="14"/>
  <c r="K84" i="14"/>
  <c r="G83" i="14"/>
  <c r="K83" i="14"/>
  <c r="P83" i="14"/>
  <c r="K82" i="14"/>
  <c r="G81" i="14"/>
  <c r="K81" i="14"/>
  <c r="H81" i="14" s="1"/>
  <c r="K80" i="14"/>
  <c r="L80" i="14" s="1"/>
  <c r="E78" i="14"/>
  <c r="K78" i="14"/>
  <c r="H78" i="14" s="1"/>
  <c r="K75" i="14"/>
  <c r="P75" i="14"/>
  <c r="H75" i="14"/>
  <c r="K74" i="14"/>
  <c r="P74" i="14"/>
  <c r="H74" i="14"/>
  <c r="K73" i="14"/>
  <c r="P73" i="14" s="1"/>
  <c r="E72" i="14"/>
  <c r="K72" i="14"/>
  <c r="P72" i="14" s="1"/>
  <c r="K71" i="14"/>
  <c r="P71" i="14"/>
  <c r="H71" i="14"/>
  <c r="K70" i="14"/>
  <c r="P70" i="14" s="1"/>
  <c r="H70" i="14"/>
  <c r="K69" i="14"/>
  <c r="P69" i="14" s="1"/>
  <c r="P187" i="14" s="1"/>
  <c r="K68" i="14"/>
  <c r="K67" i="14"/>
  <c r="I67" i="14" s="1"/>
  <c r="K66" i="14"/>
  <c r="H66" i="14"/>
  <c r="G65" i="14"/>
  <c r="K65" i="14"/>
  <c r="H65" i="14"/>
  <c r="K64" i="14"/>
  <c r="K63" i="14"/>
  <c r="G62" i="14"/>
  <c r="K62" i="14" s="1"/>
  <c r="K61" i="14"/>
  <c r="H61" i="14"/>
  <c r="K60" i="14"/>
  <c r="H60" i="14"/>
  <c r="K59" i="14"/>
  <c r="P59" i="14"/>
  <c r="E58" i="14"/>
  <c r="K58" i="14"/>
  <c r="L58" i="14"/>
  <c r="H58" i="14"/>
  <c r="G57" i="14"/>
  <c r="K57" i="14"/>
  <c r="H57" i="14"/>
  <c r="G56" i="14"/>
  <c r="K56" i="14" s="1"/>
  <c r="K54" i="14"/>
  <c r="H54" i="14"/>
  <c r="K53" i="14"/>
  <c r="H53" i="14" s="1"/>
  <c r="L53" i="14"/>
  <c r="K52" i="14"/>
  <c r="H52" i="14"/>
  <c r="K51" i="14"/>
  <c r="H51" i="14" s="1"/>
  <c r="K50" i="14"/>
  <c r="H50" i="14"/>
  <c r="K49" i="14"/>
  <c r="H49" i="14" s="1"/>
  <c r="K48" i="14"/>
  <c r="K47" i="14"/>
  <c r="K46" i="14"/>
  <c r="H46" i="14"/>
  <c r="E45" i="14"/>
  <c r="K45" i="14"/>
  <c r="N44" i="14"/>
  <c r="K44" i="14"/>
  <c r="H44" i="14"/>
  <c r="K43" i="14"/>
  <c r="H43" i="14"/>
  <c r="K42" i="14"/>
  <c r="K41" i="14"/>
  <c r="H41" i="14"/>
  <c r="K40" i="14"/>
  <c r="H40" i="14" s="1"/>
  <c r="K39" i="14"/>
  <c r="L39" i="14"/>
  <c r="H39" i="14"/>
  <c r="E35" i="14"/>
  <c r="K35" i="14" s="1"/>
  <c r="H35" i="14" s="1"/>
  <c r="G34" i="14"/>
  <c r="K34" i="14" s="1"/>
  <c r="H34" i="14" s="1"/>
  <c r="K33" i="14"/>
  <c r="H33" i="14" s="1"/>
  <c r="L33" i="14"/>
  <c r="L32" i="14"/>
  <c r="H32" i="14"/>
  <c r="H31" i="14"/>
  <c r="K30" i="14"/>
  <c r="H30" i="14" s="1"/>
  <c r="L29" i="14"/>
  <c r="H29" i="14"/>
  <c r="P21" i="14"/>
  <c r="P19" i="14"/>
  <c r="P18" i="14"/>
  <c r="P17" i="14"/>
  <c r="X2" i="14"/>
  <c r="W2" i="14"/>
  <c r="V2" i="14"/>
  <c r="U2" i="14"/>
  <c r="T2" i="14"/>
  <c r="G175" i="7"/>
  <c r="G174" i="7"/>
  <c r="G173" i="7"/>
  <c r="G171" i="7"/>
  <c r="I171" i="7" s="1"/>
  <c r="G170" i="7"/>
  <c r="G169" i="7"/>
  <c r="G168" i="7"/>
  <c r="G167" i="7"/>
  <c r="I167" i="7" s="1"/>
  <c r="J167" i="7" s="1"/>
  <c r="J177" i="7" s="1"/>
  <c r="G166" i="7"/>
  <c r="G165" i="7"/>
  <c r="G164" i="7"/>
  <c r="J155" i="7"/>
  <c r="G155" i="7"/>
  <c r="G154" i="7"/>
  <c r="G153" i="7"/>
  <c r="K153" i="7" s="1"/>
  <c r="K157" i="7" s="1"/>
  <c r="J152" i="7"/>
  <c r="J157" i="7" s="1"/>
  <c r="G152" i="7"/>
  <c r="I145" i="7"/>
  <c r="G143" i="7"/>
  <c r="G142" i="7"/>
  <c r="G141" i="7"/>
  <c r="G140" i="7"/>
  <c r="G139" i="7"/>
  <c r="G138" i="7"/>
  <c r="G137" i="7"/>
  <c r="G136" i="7"/>
  <c r="G135" i="7"/>
  <c r="G134" i="7"/>
  <c r="G133" i="7"/>
  <c r="G132" i="7"/>
  <c r="G131" i="7"/>
  <c r="E112" i="7"/>
  <c r="G112" i="7" s="1"/>
  <c r="E111" i="7"/>
  <c r="G111" i="7" s="1"/>
  <c r="G110" i="7"/>
  <c r="G109" i="7"/>
  <c r="G108" i="7"/>
  <c r="G107" i="7"/>
  <c r="G106" i="7"/>
  <c r="K106" i="7" s="1"/>
  <c r="K114" i="7" s="1"/>
  <c r="G105" i="7"/>
  <c r="G104" i="7"/>
  <c r="G103" i="7"/>
  <c r="G102" i="7"/>
  <c r="G101"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I93" i="7"/>
  <c r="J93" i="7"/>
  <c r="K93" i="7"/>
  <c r="I114" i="7"/>
  <c r="J145" i="7"/>
  <c r="I157" i="7"/>
  <c r="G47" i="7"/>
  <c r="G12" i="7"/>
  <c r="G11" i="7"/>
  <c r="G10" i="7"/>
  <c r="G9" i="7"/>
  <c r="G8" i="7"/>
  <c r="E7" i="7"/>
  <c r="G7" i="7" s="1"/>
  <c r="E34"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D17" i="5"/>
  <c r="F17" i="5"/>
  <c r="C17" i="5"/>
  <c r="B17" i="5"/>
  <c r="C16" i="5"/>
  <c r="B16" i="5"/>
  <c r="C15" i="5"/>
  <c r="B15" i="5"/>
  <c r="C14" i="5"/>
  <c r="B14" i="5"/>
  <c r="G15" i="4"/>
  <c r="D15" i="4" s="1"/>
  <c r="F15" i="4" s="1"/>
  <c r="H98" i="14"/>
  <c r="H100" i="14"/>
  <c r="E15" i="4"/>
  <c r="L144" i="14"/>
  <c r="L164" i="14"/>
  <c r="L98" i="14"/>
  <c r="L30" i="14"/>
  <c r="N67" i="14"/>
  <c r="G26" i="4"/>
  <c r="G32" i="4"/>
  <c r="G33" i="4"/>
  <c r="D33" i="4" s="1"/>
  <c r="F33" i="4" s="1"/>
  <c r="G28" i="4"/>
  <c r="G13" i="4"/>
  <c r="E13" i="4" s="1"/>
  <c r="G17" i="4"/>
  <c r="F17" i="4" s="1"/>
  <c r="D22" i="5"/>
  <c r="F22" i="5" s="1"/>
  <c r="A2" i="19"/>
  <c r="I48" i="4"/>
  <c r="G50" i="4"/>
  <c r="E50" i="4"/>
  <c r="D50" i="4"/>
  <c r="F50" i="4" s="1"/>
  <c r="D28" i="5"/>
  <c r="F28" i="5"/>
  <c r="G41" i="4"/>
  <c r="D41" i="4" s="1"/>
  <c r="F41" i="4" s="1"/>
  <c r="E41" i="4"/>
  <c r="D31" i="5"/>
  <c r="F31" i="5"/>
  <c r="D30" i="5"/>
  <c r="F30" i="5"/>
  <c r="G36" i="4"/>
  <c r="E36" i="4"/>
  <c r="G30" i="4"/>
  <c r="D30" i="4" s="1"/>
  <c r="G34" i="4"/>
  <c r="D34" i="4" s="1"/>
  <c r="G29" i="4"/>
  <c r="F29" i="4" s="1"/>
  <c r="E29" i="4"/>
  <c r="G42" i="4"/>
  <c r="E42" i="4"/>
  <c r="G20" i="4"/>
  <c r="D20" i="4" s="1"/>
  <c r="E20" i="4"/>
  <c r="G22" i="4"/>
  <c r="D22" i="4"/>
  <c r="F22" i="4"/>
  <c r="D29" i="5"/>
  <c r="F29" i="5" s="1"/>
  <c r="D24" i="5"/>
  <c r="F24" i="5"/>
  <c r="G27" i="4"/>
  <c r="D27" i="4" s="1"/>
  <c r="G23" i="4"/>
  <c r="D23" i="4"/>
  <c r="G43" i="4"/>
  <c r="D43" i="4" s="1"/>
  <c r="E26" i="4"/>
  <c r="D26" i="4"/>
  <c r="F26" i="4" s="1"/>
  <c r="D21" i="5"/>
  <c r="F21" i="5"/>
  <c r="G14" i="4"/>
  <c r="E14" i="4" s="1"/>
  <c r="G38" i="4"/>
  <c r="E38" i="4"/>
  <c r="G24" i="4"/>
  <c r="E24" i="4" s="1"/>
  <c r="D16" i="5"/>
  <c r="F16" i="5"/>
  <c r="D14" i="5"/>
  <c r="D34" i="5" s="1"/>
  <c r="D36" i="5" s="1"/>
  <c r="D25" i="5"/>
  <c r="F25" i="5" s="1"/>
  <c r="D26" i="5"/>
  <c r="F26" i="5"/>
  <c r="G12" i="4"/>
  <c r="G48" i="4" s="1"/>
  <c r="D18" i="5"/>
  <c r="F18" i="5"/>
  <c r="E17" i="4"/>
  <c r="D17" i="4"/>
  <c r="D20" i="5"/>
  <c r="F20" i="5"/>
  <c r="G40" i="4"/>
  <c r="D40" i="4" s="1"/>
  <c r="G35" i="4"/>
  <c r="E35" i="4"/>
  <c r="G39" i="4"/>
  <c r="D39" i="4"/>
  <c r="E32" i="4"/>
  <c r="D32" i="4"/>
  <c r="F32" i="4" s="1"/>
  <c r="G18" i="4"/>
  <c r="D18" i="4" s="1"/>
  <c r="G37" i="4"/>
  <c r="G44" i="4"/>
  <c r="E44" i="4" s="1"/>
  <c r="D44" i="4"/>
  <c r="F44" i="4"/>
  <c r="G45" i="4"/>
  <c r="G16" i="4"/>
  <c r="G31" i="4"/>
  <c r="D31" i="4" s="1"/>
  <c r="D15" i="5"/>
  <c r="F15" i="5"/>
  <c r="D13" i="4"/>
  <c r="F13" i="4"/>
  <c r="D19" i="5"/>
  <c r="F19" i="5"/>
  <c r="D23" i="5"/>
  <c r="F23" i="5"/>
  <c r="D27" i="5"/>
  <c r="F27" i="5"/>
  <c r="G46" i="4"/>
  <c r="E46" i="4" s="1"/>
  <c r="E33" i="4"/>
  <c r="G21" i="4"/>
  <c r="D32" i="5"/>
  <c r="F32" i="5"/>
  <c r="G19" i="4"/>
  <c r="D19" i="4" s="1"/>
  <c r="G25" i="4"/>
  <c r="E28" i="4"/>
  <c r="E40" i="4"/>
  <c r="D36" i="4"/>
  <c r="F36" i="4"/>
  <c r="E23" i="4"/>
  <c r="F23" i="4"/>
  <c r="E43" i="4"/>
  <c r="D42" i="4"/>
  <c r="F42" i="4"/>
  <c r="E34" i="4"/>
  <c r="E30" i="4"/>
  <c r="D29" i="4"/>
  <c r="D38" i="4"/>
  <c r="F38" i="4"/>
  <c r="E22" i="4"/>
  <c r="E39" i="4"/>
  <c r="F14" i="5"/>
  <c r="F34" i="5" s="1"/>
  <c r="E12" i="4"/>
  <c r="E18" i="4"/>
  <c r="D35" i="4"/>
  <c r="F35" i="4"/>
  <c r="E45" i="4"/>
  <c r="D45" i="4"/>
  <c r="F45" i="4"/>
  <c r="E37" i="4"/>
  <c r="D37" i="4"/>
  <c r="F37" i="4"/>
  <c r="F39" i="4"/>
  <c r="E31" i="4"/>
  <c r="D16" i="4"/>
  <c r="F16" i="4"/>
  <c r="E16" i="4"/>
  <c r="D25" i="4"/>
  <c r="F25" i="4"/>
  <c r="E25" i="4"/>
  <c r="E21" i="4"/>
  <c r="D21" i="4"/>
  <c r="F21" i="4"/>
  <c r="E19" i="4"/>
  <c r="D46" i="4"/>
  <c r="F46" i="4"/>
  <c r="P188" i="14" l="1"/>
  <c r="P189" i="14" s="1"/>
  <c r="F48" i="4"/>
  <c r="E48" i="4"/>
  <c r="D48" i="4"/>
  <c r="G52" i="4"/>
  <c r="I6" i="14"/>
  <c r="L187" i="14"/>
  <c r="N187" i="14"/>
  <c r="J6" i="14"/>
  <c r="F12" i="4"/>
  <c r="F27" i="4"/>
  <c r="D14" i="4"/>
  <c r="F14" i="4" s="1"/>
  <c r="F31" i="4"/>
  <c r="D12" i="4"/>
  <c r="D24" i="4"/>
  <c r="F24" i="4" s="1"/>
  <c r="E27" i="4"/>
  <c r="F30" i="4"/>
  <c r="F20" i="4"/>
  <c r="D28" i="4"/>
  <c r="F28" i="4" s="1"/>
  <c r="F40" i="4"/>
  <c r="F43" i="4"/>
  <c r="F34" i="4"/>
  <c r="L145" i="14"/>
  <c r="L81" i="14"/>
  <c r="G145" i="7"/>
  <c r="H69" i="14"/>
  <c r="H73" i="14"/>
  <c r="H80" i="14"/>
  <c r="H97" i="14"/>
  <c r="H101" i="14"/>
  <c r="K103" i="14"/>
  <c r="H103" i="14" s="1"/>
  <c r="G117" i="14"/>
  <c r="H140" i="14"/>
  <c r="I14" i="7"/>
  <c r="K177" i="7"/>
  <c r="F19" i="4"/>
  <c r="F18" i="4"/>
  <c r="K48" i="4"/>
  <c r="L48" i="4" s="1"/>
  <c r="H72" i="14"/>
  <c r="H56" i="14"/>
  <c r="G14" i="7"/>
  <c r="G114" i="7"/>
  <c r="G177" i="7"/>
  <c r="K14" i="7"/>
  <c r="J114" i="7"/>
  <c r="J14" i="7"/>
  <c r="G93" i="7"/>
  <c r="I177" i="7"/>
  <c r="G157" i="7"/>
  <c r="H6" i="14" l="1"/>
  <c r="K187" i="14"/>
  <c r="N198" i="14"/>
  <c r="L188" i="14"/>
  <c r="L189" i="14" s="1"/>
  <c r="L198" i="14"/>
  <c r="N188" i="14"/>
  <c r="N189" i="14" s="1"/>
  <c r="N191" i="14" s="1"/>
  <c r="D52" i="4"/>
  <c r="F52" i="4" s="1"/>
  <c r="E52" i="4"/>
  <c r="K188" i="14"/>
  <c r="K189" i="14" s="1"/>
  <c r="S194" i="14" l="1"/>
  <c r="L191" i="14"/>
  <c r="L193" i="14" s="1"/>
  <c r="N200" i="14"/>
  <c r="N201" i="14"/>
  <c r="L200" i="14"/>
  <c r="L201" i="14"/>
  <c r="L202" i="14" l="1"/>
  <c r="N202" i="14"/>
  <c r="N192" i="14"/>
  <c r="N193" i="14" s="1"/>
  <c r="N195" i="14" s="1"/>
  <c r="L195" i="14"/>
</calcChain>
</file>

<file path=xl/sharedStrings.xml><?xml version="1.0" encoding="utf-8"?>
<sst xmlns="http://schemas.openxmlformats.org/spreadsheetml/2006/main" count="2306" uniqueCount="834">
  <si>
    <t>Gwinnett Tech</t>
  </si>
  <si>
    <t>Life Sciences Center</t>
  </si>
  <si>
    <t>Lawrenceville, GA</t>
  </si>
  <si>
    <t>Proposal Summary</t>
  </si>
  <si>
    <t>Lump Sum Bid</t>
  </si>
  <si>
    <t>Last Updated 10-21-09</t>
  </si>
  <si>
    <t>Total Area (GSF):</t>
  </si>
  <si>
    <t>Pkg #</t>
  </si>
  <si>
    <t>Description</t>
  </si>
  <si>
    <t>Qty</t>
  </si>
  <si>
    <t>Unit</t>
  </si>
  <si>
    <t>$ / Unit</t>
  </si>
  <si>
    <t>Cost</t>
  </si>
  <si>
    <t>Earthwork &amp; Utilities</t>
  </si>
  <si>
    <t>Selective Demolition</t>
  </si>
  <si>
    <t>Site Improvements</t>
  </si>
  <si>
    <t>Deep Foundations</t>
  </si>
  <si>
    <t>Concrete</t>
  </si>
  <si>
    <t>Precast / Cast Stone</t>
  </si>
  <si>
    <t>Masonry</t>
  </si>
  <si>
    <t>Structural &amp; Misc Steel</t>
  </si>
  <si>
    <t>Rough Carpentry</t>
  </si>
  <si>
    <t>Millwork/ Casework</t>
  </si>
  <si>
    <t>Waterproofing/ Caulk</t>
  </si>
  <si>
    <t>Fireproofing</t>
  </si>
  <si>
    <t>Roofing</t>
  </si>
  <si>
    <t>Metal Panels</t>
  </si>
  <si>
    <t>Doors/ Frames/ Hardware (Material)</t>
  </si>
  <si>
    <t>Doors/ Hardware (Install)</t>
  </si>
  <si>
    <t>Overhead/ Special Acting Doors</t>
  </si>
  <si>
    <t>Glass &amp; Glazing</t>
  </si>
  <si>
    <t>Stucco, Lath, EIFS</t>
  </si>
  <si>
    <t>Drywall &amp; ACT</t>
  </si>
  <si>
    <t>Tile</t>
  </si>
  <si>
    <t>Resilient Flooring</t>
  </si>
  <si>
    <t>Special Flooring</t>
  </si>
  <si>
    <t>Painting &amp; Wallcovering</t>
  </si>
  <si>
    <t>Misc Specialties</t>
  </si>
  <si>
    <t>Toilet Partitions &amp; Accessories</t>
  </si>
  <si>
    <t>Equipment</t>
  </si>
  <si>
    <t>Furnishings</t>
  </si>
  <si>
    <t>Special Construction</t>
  </si>
  <si>
    <t>Conveying Systems</t>
  </si>
  <si>
    <t>Fire Protection</t>
  </si>
  <si>
    <t>Plumbing</t>
  </si>
  <si>
    <t>HVAC &amp; Test/ balance</t>
  </si>
  <si>
    <t>Electrical &amp; Low Voltage</t>
  </si>
  <si>
    <t>General Items</t>
  </si>
  <si>
    <t>Direct Construction Cost</t>
  </si>
  <si>
    <t>General Conditions, Insurances, &amp; Fees</t>
  </si>
  <si>
    <t>Total Construction Cost</t>
  </si>
  <si>
    <t>AFLAC</t>
  </si>
  <si>
    <t>CSC Renovation</t>
  </si>
  <si>
    <t>Columbus, GA</t>
  </si>
  <si>
    <t>BID PACKAGE SUMMARY</t>
  </si>
  <si>
    <t>BID DATE:</t>
  </si>
  <si>
    <t>PKG #</t>
  </si>
  <si>
    <t>PACKAGE DESCRIPTION</t>
  </si>
  <si>
    <t>BID DAY</t>
  </si>
  <si>
    <t xml:space="preserve">SUB </t>
  </si>
  <si>
    <t>BUDGET</t>
  </si>
  <si>
    <t>CUT/ADD</t>
  </si>
  <si>
    <t>TOTAL</t>
  </si>
  <si>
    <t>NAME</t>
  </si>
  <si>
    <t>COMMENTS</t>
  </si>
  <si>
    <t xml:space="preserve"> </t>
  </si>
  <si>
    <t xml:space="preserve">Team Name: </t>
  </si>
  <si>
    <t>BP #</t>
  </si>
  <si>
    <t>Budget</t>
  </si>
  <si>
    <t>Estimator</t>
  </si>
  <si>
    <t>Sub Selection</t>
  </si>
  <si>
    <t>Total Available Budget</t>
  </si>
  <si>
    <t>Estimated Cost</t>
  </si>
  <si>
    <t>Delta</t>
  </si>
  <si>
    <t>Bid Pkg</t>
  </si>
  <si>
    <t/>
  </si>
  <si>
    <t>SUB 1</t>
  </si>
  <si>
    <t>SUB 2</t>
  </si>
  <si>
    <t>SUB 3</t>
  </si>
  <si>
    <t>Unit Cost</t>
  </si>
  <si>
    <t>Total</t>
  </si>
  <si>
    <t>GENERAL REQUIREMENTS</t>
  </si>
  <si>
    <t>Building Supply Surplus
Atlanta, GA</t>
  </si>
  <si>
    <t>Maners Building Supply
Martinez, GA</t>
  </si>
  <si>
    <t>BMC
McDonough, GA</t>
  </si>
  <si>
    <t>BASE BID</t>
  </si>
  <si>
    <t>Final Cleaning</t>
  </si>
  <si>
    <t>sf</t>
  </si>
  <si>
    <t>Dumpsters</t>
  </si>
  <si>
    <t>ea</t>
  </si>
  <si>
    <t>Daily Cleaning Labor</t>
  </si>
  <si>
    <t>Temporary Fencing, Temp Roads/Laydown</t>
  </si>
  <si>
    <t>ls</t>
  </si>
  <si>
    <t>Mockups</t>
  </si>
  <si>
    <t>Launch MDO Sign 4'x12'x1/2"</t>
  </si>
  <si>
    <t>Not Available</t>
  </si>
  <si>
    <t>CIP CONCRETE</t>
  </si>
  <si>
    <t>Argos
Norcross, GA</t>
  </si>
  <si>
    <t>Thomas Concrete
Berkeley Lake, GA</t>
  </si>
  <si>
    <t>Cemex
Alpharetta, GA</t>
  </si>
  <si>
    <t>Insert Scoring Matrix Here</t>
  </si>
  <si>
    <t>Footings, Grade Beams 3000 psf</t>
  </si>
  <si>
    <t>cy</t>
  </si>
  <si>
    <t>included</t>
  </si>
  <si>
    <t>CIP Concrete - Retaining Basement Wall 3,000 psi</t>
  </si>
  <si>
    <t>CIP Concrete - Basement Wall</t>
  </si>
  <si>
    <t>CIP Concrete - Cistern w/ Crystanlline Treatment 4,500 psi</t>
  </si>
  <si>
    <t>CIP Concrete - Pier Columns &amp; C1, C2, C4</t>
  </si>
  <si>
    <t>CIP Concrete - Podium at Articulated Columns</t>
  </si>
  <si>
    <t>CIP Concrete - Pads at Equipment</t>
  </si>
  <si>
    <t>CIP Concrete - 1st &amp; 2nd Floor Ramps</t>
  </si>
  <si>
    <t>Footing at Site Wall from loading dock to road</t>
  </si>
  <si>
    <t>lf</t>
  </si>
  <si>
    <t>CIP Concrete - Site Wall - from loading dock to road</t>
  </si>
  <si>
    <t>Slab on Grade 5" thick 3500 psi</t>
  </si>
  <si>
    <t>Knee Wall @ Access Floor Step Down</t>
  </si>
  <si>
    <t>Knee Wall @ 1st Flr 2' Step Down</t>
  </si>
  <si>
    <t>Topping Slab (3.5") w/ Fiber Rein. @ Radiant Flooring</t>
  </si>
  <si>
    <t>1" Rigid Insualtion below topping slab @ Lvl 1 Radiant Floor</t>
  </si>
  <si>
    <t>Vapor Retarder @ Slab Assembly F1, F3, F6</t>
  </si>
  <si>
    <t>AR-101</t>
  </si>
  <si>
    <t>Change 10" Working Base @ Slab Assembly back to 4"</t>
  </si>
  <si>
    <t>SF</t>
  </si>
  <si>
    <t>AR-102</t>
  </si>
  <si>
    <t>Delete 2" capilary break layer of stone/sand</t>
  </si>
  <si>
    <t>AR-103</t>
  </si>
  <si>
    <t>Change 3" Rigid Insulation - Foundation R-15 back to 2"</t>
  </si>
  <si>
    <t>AR-104</t>
  </si>
  <si>
    <t>Change 4" Rigid Insulation - Foundation R-20 back to 2"</t>
  </si>
  <si>
    <t>AR-105</t>
  </si>
  <si>
    <t>Change 5" Rigid Insulation - Foundation R-25 back to 2"</t>
  </si>
  <si>
    <t>MP-08b</t>
  </si>
  <si>
    <t>Remove Addition for depressed slab, 1'</t>
  </si>
  <si>
    <t>MP-08a</t>
  </si>
  <si>
    <t>Remove Addition for depressed slab, excavation</t>
  </si>
  <si>
    <t>CY</t>
  </si>
  <si>
    <t>STRUCTURAL STEEL</t>
  </si>
  <si>
    <t>Scafco
Spokane, WA</t>
  </si>
  <si>
    <t>Clark Dietrich
West Chester, OH</t>
  </si>
  <si>
    <t>Marinoware
Griffin, GA</t>
  </si>
  <si>
    <t>6" Pipe Articulated Columns</t>
  </si>
  <si>
    <t>tns</t>
  </si>
  <si>
    <t>3" Pipe Brace</t>
  </si>
  <si>
    <t>3/4" Dia Rod</t>
  </si>
  <si>
    <t>Steel Columns</t>
  </si>
  <si>
    <t>Steel Column Base Plates &amp; Anchors</t>
  </si>
  <si>
    <t>Steel Beams w/ brackets &amp; fastners</t>
  </si>
  <si>
    <t>Queen Posts, Braced Frames bracket &amp; bolts</t>
  </si>
  <si>
    <t>Green Roof Parapet Support above windows @ Auditorium</t>
  </si>
  <si>
    <t>Support Steel @ Auditorium Door A602</t>
  </si>
  <si>
    <t>Misc Steel</t>
  </si>
  <si>
    <t>Support for Water Heater</t>
  </si>
  <si>
    <t>Misc Support Steel for Rooftop DOAS</t>
  </si>
  <si>
    <t>Projection Screen and Projector Supports</t>
  </si>
  <si>
    <t>Lift and Fold Door Support Steel at Outdoor Study</t>
  </si>
  <si>
    <t>Vanity Supports</t>
  </si>
  <si>
    <t>Toilet Partitions Supports</t>
  </si>
  <si>
    <t>Vertical Brick Angles</t>
  </si>
  <si>
    <t>Bent Plate Pour Stop A9/A511</t>
  </si>
  <si>
    <t>Countertop Supports @ Innovation Learning</t>
  </si>
  <si>
    <t>Additional Elevator Shaft Support Steel</t>
  </si>
  <si>
    <t>PV Panel Support Frame (in PV cost)</t>
  </si>
  <si>
    <t>Steel Expansion to Accomodate Trina Layout</t>
  </si>
  <si>
    <t>bay</t>
  </si>
  <si>
    <t>Steel Plate Fin E1/A511</t>
  </si>
  <si>
    <t>Steel Plate Parapet A1/A507</t>
  </si>
  <si>
    <t>Steel Plate Parapet A5/A507</t>
  </si>
  <si>
    <t>Steel Plate Soffit A1,A5,G1/A503</t>
  </si>
  <si>
    <t>Brick Reveal D4/A502</t>
  </si>
  <si>
    <t>Sill Angle H5/A500</t>
  </si>
  <si>
    <t>Misc. Brick Closure Angle A502</t>
  </si>
  <si>
    <t>Steel Plate Door Jamb D1/A502</t>
  </si>
  <si>
    <t>Bent Plate at Wood Corner A1/A504</t>
  </si>
  <si>
    <t>Misc. Steel at Ext Shades</t>
  </si>
  <si>
    <t>tn</t>
  </si>
  <si>
    <t>Misc Steel at Curtainwall</t>
  </si>
  <si>
    <t>Elevator Pit Ladder</t>
  </si>
  <si>
    <t>Ships Ladder @ Roof</t>
  </si>
  <si>
    <t>Cane Detection Rail</t>
  </si>
  <si>
    <t>Metal Screen Under Basement Stair</t>
  </si>
  <si>
    <t>Steel framing/composite slab elevated concrete deck</t>
  </si>
  <si>
    <t>WOOD STRUCTURE</t>
  </si>
  <si>
    <t>Universal TS
5631 NC-62, Burlington, NC 27215</t>
  </si>
  <si>
    <t>Alamco/Galyon
1250 Nueces St, George West, TX 78022</t>
  </si>
  <si>
    <t>Nordic Lam
Quebec, Canada</t>
  </si>
  <si>
    <t>Laminated 2x6 and 2x4 Decking, FSC @ 2nd Lvl Flr</t>
  </si>
  <si>
    <t>Laminated 2x6 and 2x4 Decking, FSC @ Roof</t>
  </si>
  <si>
    <t>included above</t>
  </si>
  <si>
    <t>Laminated 2x6 and 2x4 Decking Installation, Unloading</t>
  </si>
  <si>
    <t>5/8" Plywood, FSC Certified</t>
  </si>
  <si>
    <t>Roof Deck @ Vestibules</t>
  </si>
  <si>
    <t>Acoustical Mat on NLT</t>
  </si>
  <si>
    <t>One coat stain NLT deck</t>
  </si>
  <si>
    <t>Excluded</t>
  </si>
  <si>
    <t>Structural Columns, Material, FSC Certified</t>
  </si>
  <si>
    <t>Structural Beams/Trusses, FSC Certified</t>
  </si>
  <si>
    <t>Connections, Lam-to-Lam, Tie rod and Connecting hardware</t>
  </si>
  <si>
    <t>One coat stain glu-lam</t>
  </si>
  <si>
    <t>Glu-Lam Installation, Unloading</t>
  </si>
  <si>
    <t>ST-106</t>
  </si>
  <si>
    <t>Review FSC waste risk of 30% by vendor and go at risk for a lower factor</t>
  </si>
  <si>
    <t>N/A</t>
  </si>
  <si>
    <t xml:space="preserve">Georgia Pacific
Cumberland City, TN
</t>
  </si>
  <si>
    <t>USG
Bridgeport, AL</t>
  </si>
  <si>
    <t>CertainTeed
Moundsville, WV</t>
  </si>
  <si>
    <t>Rigid Wall Insulation - 3" at Metal Panels</t>
  </si>
  <si>
    <t>Rigid Wall Insulation - 3" at Wood Siding</t>
  </si>
  <si>
    <t>Backup at Brick (No Rigid Insulation)</t>
  </si>
  <si>
    <t>Backup at Metal Panels (No Rigid Insulation)</t>
  </si>
  <si>
    <t>Backup at Wood (No Rigid Insulation)</t>
  </si>
  <si>
    <t>Furring @ CMU</t>
  </si>
  <si>
    <t>Interior Partition, 2 gyp, no insulation</t>
  </si>
  <si>
    <t>Interior Partition, 2 gyp, batt insulation</t>
  </si>
  <si>
    <t>Interior Partition, 1 gyp, no insulation</t>
  </si>
  <si>
    <t>Interior Partition, 1 gyp, batt insulation</t>
  </si>
  <si>
    <t>Knee Walls @ Kitchenette &amp; Coffee Cart</t>
  </si>
  <si>
    <t>Gypsum Bulkhead at Skylight /Atrium</t>
  </si>
  <si>
    <t>Change CMU walls to GWB shaftwall (leave elevator shaft as CMU)</t>
  </si>
  <si>
    <t>sy</t>
  </si>
  <si>
    <t>Rubber Base</t>
  </si>
  <si>
    <t>INTERIOR PAINT</t>
  </si>
  <si>
    <t>Benjamin Moore
Marietta, GA</t>
  </si>
  <si>
    <t>Ecos
Fairforest, SC</t>
  </si>
  <si>
    <t>Sherwin Williams
Athens, GA</t>
  </si>
  <si>
    <t>Paint - Walls - Prime + 2 Finish Coats</t>
  </si>
  <si>
    <t>Included</t>
  </si>
  <si>
    <t>Paint - Doors, Latex Paint - 2 Finish Coats</t>
  </si>
  <si>
    <t>Paint - Frames, Latex Paint - 2 Finish Coats</t>
  </si>
  <si>
    <t>Paint - Sprinkler Piping</t>
  </si>
  <si>
    <t>Paint - Interior steel trim and frames</t>
  </si>
  <si>
    <t>Paint Ext Door</t>
  </si>
  <si>
    <t>Paint Ext HM Frame</t>
  </si>
  <si>
    <t>Paint Canopy Columns</t>
  </si>
  <si>
    <t>Paint Canopy Joists</t>
  </si>
  <si>
    <t>Prep Canopy Steel for Paint</t>
  </si>
  <si>
    <t>Paint Misc. Exterior Steel</t>
  </si>
  <si>
    <t>INSULATION</t>
  </si>
  <si>
    <t>Owens Corning
Fairburn, GA</t>
  </si>
  <si>
    <t>Knauf
Shelbyville, IN</t>
  </si>
  <si>
    <t>CertainTeed
Athens, GA</t>
  </si>
  <si>
    <t>PV INVERTER</t>
  </si>
  <si>
    <t>SolarEdge
Victorville, CA</t>
  </si>
  <si>
    <t>SMA
Rocklin, CA</t>
  </si>
  <si>
    <t>Huawei
Shenzhen, China</t>
  </si>
  <si>
    <t>PV BATTERY</t>
  </si>
  <si>
    <t>LG
Seoul, South Korea</t>
  </si>
  <si>
    <t>Samsung
Seoul, South Korea</t>
  </si>
  <si>
    <t>Materials and Soil Estimate Summary</t>
  </si>
  <si>
    <t>2ND</t>
  </si>
  <si>
    <t>BIDDERS</t>
  </si>
  <si>
    <t>BOND</t>
  </si>
  <si>
    <t>SOIL EXCAVATION</t>
  </si>
  <si>
    <t>Excavated clean soil</t>
  </si>
  <si>
    <t>Estimated additional waste</t>
  </si>
  <si>
    <t>Personal food waste</t>
  </si>
  <si>
    <t>tons</t>
  </si>
  <si>
    <t>Plastic/Cans</t>
  </si>
  <si>
    <t>Concrete Beams</t>
  </si>
  <si>
    <t>U/M</t>
  </si>
  <si>
    <t>$/UM</t>
  </si>
  <si>
    <t>Formwork- Beam Sides</t>
  </si>
  <si>
    <t>Formwork- Beam Bottoms</t>
  </si>
  <si>
    <t>Reinforcing- Furnish</t>
  </si>
  <si>
    <t>ton</t>
  </si>
  <si>
    <t>Reinforcing- Placement</t>
  </si>
  <si>
    <t>Concrete Material- Furnish- Assume 5% Waste</t>
  </si>
  <si>
    <t>Pumping</t>
  </si>
  <si>
    <t>Place and Finish</t>
  </si>
  <si>
    <t>Strip Footings</t>
  </si>
  <si>
    <t>Excavation</t>
  </si>
  <si>
    <t>Formwork</t>
  </si>
  <si>
    <t>Fine Grade Bottoms</t>
  </si>
  <si>
    <t>Backfill</t>
  </si>
  <si>
    <t>Spread Footings</t>
  </si>
  <si>
    <t>Slab on Grade</t>
  </si>
  <si>
    <t>Stone Base- 4" Thick</t>
  </si>
  <si>
    <t>Vapor Barrier</t>
  </si>
  <si>
    <t>Fine Grading</t>
  </si>
  <si>
    <t>Formwork at Turndown Edges</t>
  </si>
  <si>
    <t>WWF- Material</t>
  </si>
  <si>
    <t>WWF- Placement</t>
  </si>
  <si>
    <t>Slab Finish and Cure</t>
  </si>
  <si>
    <t>Elevated Slab</t>
  </si>
  <si>
    <t>Formwork- Elevated</t>
  </si>
  <si>
    <t>Topping Slabs</t>
  </si>
  <si>
    <t>Walls</t>
  </si>
  <si>
    <t>Formwork- Both Sides</t>
  </si>
  <si>
    <t>Rub and Patch Exposed Surfaces</t>
  </si>
  <si>
    <t>Columns</t>
  </si>
  <si>
    <t>Total of Above</t>
  </si>
  <si>
    <t>1" Foam at Topping Slab</t>
  </si>
  <si>
    <t>2" Foam</t>
  </si>
  <si>
    <t>3" Foam</t>
  </si>
  <si>
    <t>Crane and Operator</t>
  </si>
  <si>
    <t>mo</t>
  </si>
  <si>
    <t>Total with Hoisting</t>
  </si>
  <si>
    <t>The Living Building at Georgia Tech</t>
  </si>
  <si>
    <t>100% Design Development | Deductive Alternatives</t>
  </si>
  <si>
    <t>Priority</t>
  </si>
  <si>
    <t>Design Schedule Impact</t>
  </si>
  <si>
    <t>VE Item No.</t>
  </si>
  <si>
    <t>UoM</t>
  </si>
  <si>
    <t>Green</t>
  </si>
  <si>
    <t>Yellow</t>
  </si>
  <si>
    <t>Red</t>
  </si>
  <si>
    <t>Proposed Value</t>
  </si>
  <si>
    <t>Values of Accepted</t>
  </si>
  <si>
    <t>Date Accepted</t>
  </si>
  <si>
    <t>Values of Pending</t>
  </si>
  <si>
    <t>Decisions Required By</t>
  </si>
  <si>
    <t>Values of Rejected</t>
  </si>
  <si>
    <t>Rejected</t>
  </si>
  <si>
    <t>Notes</t>
  </si>
  <si>
    <t>Design Team Feedback</t>
  </si>
  <si>
    <t>EUI Impact</t>
  </si>
  <si>
    <t>Ball-in-Court</t>
  </si>
  <si>
    <t>Status of Item in 12/4/17 GMP Submission</t>
  </si>
  <si>
    <t>Status of Item in 12/20/17 Documents</t>
  </si>
  <si>
    <t>Unrealized VE Amount</t>
  </si>
  <si>
    <t>Accepted VE items from 50% DD not incorporated in 100% DD documents</t>
  </si>
  <si>
    <t>Pending VE items from 50% DD not incorporated in 100% DD documents</t>
  </si>
  <si>
    <t>Rejected VE items from 50% DD not incorporated in 100% DD documents</t>
  </si>
  <si>
    <t>Large</t>
  </si>
  <si>
    <t>AR-15</t>
  </si>
  <si>
    <t>Reduce bldg volume by 2' total</t>
  </si>
  <si>
    <t>LS</t>
  </si>
  <si>
    <t>Small</t>
  </si>
  <si>
    <t>AR-23</t>
  </si>
  <si>
    <t>$25/sf Stucco at Wood Soffits</t>
  </si>
  <si>
    <t>Medium</t>
  </si>
  <si>
    <t>AR-24</t>
  </si>
  <si>
    <t>Accoya Wood Siding Replacement with Brick</t>
  </si>
  <si>
    <t>AR-25</t>
  </si>
  <si>
    <t>Use double-pane glass ILO triple-pane at vestibule</t>
  </si>
  <si>
    <t>AR-26</t>
  </si>
  <si>
    <t>Salvage casework ILO new casework</t>
  </si>
  <si>
    <t>AR-27</t>
  </si>
  <si>
    <t>Reduce Interior Glazing</t>
  </si>
  <si>
    <t>AR-28</t>
  </si>
  <si>
    <t>Eliminate Skylights</t>
  </si>
  <si>
    <t>AR-29</t>
  </si>
  <si>
    <t>Remove (2) Sinks at Maker Space</t>
  </si>
  <si>
    <t>AR-30</t>
  </si>
  <si>
    <t>Manually-operated windows ILO automatically controlled windows</t>
  </si>
  <si>
    <t>Ea</t>
  </si>
  <si>
    <t>Discussed as a deductive alternate, not VE item</t>
  </si>
  <si>
    <t>PAE recommends rejecting this measure. It is unclear if the controls cost of an added red light/green light system is included in the savings. There is significant risk, even with the red light/ green light system of loosing controls of space temperatures and building energy use. Because the spaces don't have "owners" it is usually not feasible to rely on occupants to control the space tightly.</t>
  </si>
  <si>
    <t>Increase</t>
  </si>
  <si>
    <t>AR-30a</t>
  </si>
  <si>
    <t>Remove Controls</t>
  </si>
  <si>
    <t>AR-30b</t>
  </si>
  <si>
    <t>Remove Window Motor</t>
  </si>
  <si>
    <t>AR-30c</t>
  </si>
  <si>
    <t>Add Red Light/Green Light allowance, per zone</t>
  </si>
  <si>
    <t>AR-47</t>
  </si>
  <si>
    <t>Building Reduction Option 02</t>
  </si>
  <si>
    <t xml:space="preserve">Mutually Exclusive to AR-46. </t>
  </si>
  <si>
    <t>C-03</t>
  </si>
  <si>
    <t>Relocating trees ILO new trees</t>
  </si>
  <si>
    <t>C-04</t>
  </si>
  <si>
    <t xml:space="preserve">Remove Green Screen from Stair </t>
  </si>
  <si>
    <t>C-05</t>
  </si>
  <si>
    <t xml:space="preserve">Remove All Irrigation Allowance </t>
  </si>
  <si>
    <t>MP-11</t>
  </si>
  <si>
    <t xml:space="preserve">Load Shave off HVAC Equipment </t>
  </si>
  <si>
    <t>MP-12</t>
  </si>
  <si>
    <t>Alternative Duct System - Ductsox</t>
  </si>
  <si>
    <t xml:space="preserve">Potential to review complete ductsox system as well as from the riser on.  Determined additional savings not worth the investigation. </t>
  </si>
  <si>
    <t>Further evaluation needed.</t>
  </si>
  <si>
    <t>Ductsox may result in 10% increase in fan energy.  Prihoda (alternate manufacturer) may be fan energy neutral.</t>
  </si>
  <si>
    <t>MP-19</t>
  </si>
  <si>
    <t>Removal of Greywater System Treatment Capabilities for Irrigation</t>
  </si>
  <si>
    <t>To be validated as a deductive alternate, rejected for VE discussion.</t>
  </si>
  <si>
    <t>Suggestion from Biohabitats - Needs AHJ Response</t>
  </si>
  <si>
    <t>New VE items from 100% DD</t>
  </si>
  <si>
    <t>AR-01</t>
  </si>
  <si>
    <t>Typical Parapet ilo Glass Rail @ Roof</t>
  </si>
  <si>
    <t>LAS to revise docs</t>
  </si>
  <si>
    <t>Incorporated in GMP</t>
  </si>
  <si>
    <t>Incorporated in documents</t>
  </si>
  <si>
    <t>AR-02</t>
  </si>
  <si>
    <t>Revise brick specs to remove seismic clips and portland cement lime mortar, modular vs. norman unit price (target savings)</t>
  </si>
  <si>
    <t>Brick size was revised- still need to revised clips/mortar spec</t>
  </si>
  <si>
    <t>AR-14</t>
  </si>
  <si>
    <t>Paint ilo Wood Paneling @ 2nd Floor Ramp</t>
  </si>
  <si>
    <t>Incorporated in documents.  Wood paneling is Alternate #3</t>
  </si>
  <si>
    <t>AR-51</t>
  </si>
  <si>
    <t>Design Assist Cost Savings for Curtainwall System (2.5% Targeted Cost Reduction)</t>
  </si>
  <si>
    <t xml:space="preserve">Kawneer is leading manufacturer at this time.  Kawneer allows multiple vendor pricing on their system (Crown Corr &amp; All State).   Skanska to demonstrate effort for 3rd vendor pricing if unavailable. </t>
  </si>
  <si>
    <t>Skanska to reach out to Kawneer and get additional proposals.  BK contacted local rep on 9/29- 3rd number received 10/11/17</t>
  </si>
  <si>
    <t>Included in GMP- nothing to incorporate in documents</t>
  </si>
  <si>
    <t>AR-53</t>
  </si>
  <si>
    <t>2" Fin - Reduce 16" projection to 14" &amp; bent plate ilo welded edge</t>
  </si>
  <si>
    <t>pending SES feedback from meeting held on 10/10</t>
  </si>
  <si>
    <t>Change 3" Rigid Insulation - Foundation R-15 back to 2" - value in AR-106</t>
  </si>
  <si>
    <t>Per insulation update 11/7/17</t>
  </si>
  <si>
    <t>LAS to review requirements and confirm if this can be implemented</t>
  </si>
  <si>
    <t>Change 4" Rigid Insulation - Foundation R-20 back to 2" - value in AR-106</t>
  </si>
  <si>
    <t>Change 5" Rigid Insulation - Foundation R-25 back to 2" - value in AR-106</t>
  </si>
  <si>
    <t>Only below auditorium.</t>
  </si>
  <si>
    <t>AR-106</t>
  </si>
  <si>
    <t>Insulation updated per LAS update dated 11/8/2017</t>
  </si>
  <si>
    <t>pending review of full changes at permit set, value represents AR-103, AR-104, and AR-105 accepted</t>
  </si>
  <si>
    <t>AR-107</t>
  </si>
  <si>
    <t>Remove added Mullion Extensions (use proposed 8" stock extrusion)</t>
  </si>
  <si>
    <t>pricing per crown corr detail per 20171006, eliminating all deep covers and using a standard 3/4" cover will deduct an additional $4,560</t>
  </si>
  <si>
    <t>AR-108</t>
  </si>
  <si>
    <t xml:space="preserve">Manual Coiling Door @ Loading Dock ilo specified Automatic </t>
  </si>
  <si>
    <t>Assa Abloy 14'x9' manual door $3,518</t>
  </si>
  <si>
    <t>Skanska sent info to LAS regarding roll-up door 10/11/17</t>
  </si>
  <si>
    <t>Not incorporated in drawings</t>
  </si>
  <si>
    <t>AR-109</t>
  </si>
  <si>
    <t>Remove added Exterior bar grating at bike storage</t>
  </si>
  <si>
    <t>AR-110</t>
  </si>
  <si>
    <t>Remove added Bird Spikes</t>
  </si>
  <si>
    <t>AR-112</t>
  </si>
  <si>
    <t>Change Metal Soffit at Loading to stucco (pending further savings if insulated exposed deck)</t>
  </si>
  <si>
    <t>May be impacted by ST-101 and would be insulation on exposed decking</t>
  </si>
  <si>
    <t>AR-113</t>
  </si>
  <si>
    <t>Reduce Roof Garden media area</t>
  </si>
  <si>
    <t>AR-114</t>
  </si>
  <si>
    <t>Move Signage to FFE</t>
  </si>
  <si>
    <t>allw</t>
  </si>
  <si>
    <t>AR-115</t>
  </si>
  <si>
    <t>Remove Salvaged Counter @ Innovation Learning</t>
  </si>
  <si>
    <t>AR-116</t>
  </si>
  <si>
    <t>Remove Bench @ Collaboration &amp; Multi Purpose</t>
  </si>
  <si>
    <t>AR-117</t>
  </si>
  <si>
    <t>Door Hardware procurement change to glazing subcontractor</t>
  </si>
  <si>
    <t>Skanska  shifted purchasing of glass door hardware to glazing provider.  Further cost reductions may be realized if specificationis are changed</t>
  </si>
  <si>
    <t>AR-118</t>
  </si>
  <si>
    <t xml:space="preserve">Adjust acoustical design to $110,000 allowance - accomplished by removing the wood battens </t>
  </si>
  <si>
    <t xml:space="preserve">Accutrack &amp; Novawall system revised proposal is per allowance.  </t>
  </si>
  <si>
    <t>Wood batten is an Alternate, base design is a new diamond/hexagon pattern.  Pricing pending</t>
  </si>
  <si>
    <t>AR-119</t>
  </si>
  <si>
    <t>Cable trellis cost reduction</t>
  </si>
  <si>
    <t xml:space="preserve">Specify Jakob and others if possible, the attachments at the south entrance needs to be detailed (suggested curb at base and fin at top).  </t>
  </si>
  <si>
    <t>AR-120</t>
  </si>
  <si>
    <t xml:space="preserve">Revise non salvage restroom tile specification.  </t>
  </si>
  <si>
    <t xml:space="preserve">LAS to revise design, Williams &amp; Lindsey suggested other tiles (CT1 Urban Canvas, CT3 Colar Appeal) Mike says it is $7,500+ worth of a reduction.  We can achieve futher reductions per a call to be scheduled 10/26.  Lindsey Tile proposed Daltile CW01 Ice White 2"x12" ilo CT-3 Ann Sacks Metro nuovo artic white 2"x8" .  Incorporation of larger salvage tile size may further reduce the cost. </t>
  </si>
  <si>
    <t>Skanska to set up call with Williams Tile 10/26</t>
  </si>
  <si>
    <t>AR-121a</t>
  </si>
  <si>
    <t>Target reduction on stairs and railings - woven stainless w/ crimp</t>
  </si>
  <si>
    <t>per SES who is going to build a mock up for approval.  Cable rail is an add of ~$70/lf.</t>
  </si>
  <si>
    <t>SES Mock up pending</t>
  </si>
  <si>
    <t>AR-121b</t>
  </si>
  <si>
    <t xml:space="preserve">Target reduction on stairs and railings - remove holes from feature stair </t>
  </si>
  <si>
    <t xml:space="preserve">pending SES feedback from meeting held on 10/10. </t>
  </si>
  <si>
    <t>AR-121c</t>
  </si>
  <si>
    <t>Reduce guardrail heights on interior to 42" / Exterior @ Roof to remain at 48"</t>
  </si>
  <si>
    <t>Value reflected in AR-121a</t>
  </si>
  <si>
    <t>AR-122</t>
  </si>
  <si>
    <t>Change concrete ramps to wood framing</t>
  </si>
  <si>
    <t>AR-123</t>
  </si>
  <si>
    <t>Delete staining/coating of nail-lam decking</t>
  </si>
  <si>
    <t>Beams and columns need coating / wood decking does not.</t>
  </si>
  <si>
    <t xml:space="preserve">Not incorporated - 06 1529.3.02.C.7&amp;8 saturation and sealing coat is included in the specification. </t>
  </si>
  <si>
    <t>AR-124</t>
  </si>
  <si>
    <t>Substitute material for Accoya wood at soffits and wall to save $4.4/sf</t>
  </si>
  <si>
    <t>material pricing is Thermory Ash Cladding -- $8.57/SF
(install phone of $42/sf for residential - thoughts are it will go down with larger area)  Accoya material pricing is $13/sf  also Rulon product material only $20 to $22/sf - 25% premiun for Thermory FSC and changes to furring</t>
  </si>
  <si>
    <t>pending material review</t>
  </si>
  <si>
    <t>AR-125</t>
  </si>
  <si>
    <t>Review roof spec to target $/sf savings- 60 mil TPO ilo 80 mil</t>
  </si>
  <si>
    <t xml:space="preserve">$2/sf savings to go to 60 mil, will be 20 year warranty.  20-yr warranty not acceptable. </t>
  </si>
  <si>
    <t>Additional manufacturers have confirmed that 80 mil is required for 30 year warranty for this roof with the PV array.  (rejected, still searching)</t>
  </si>
  <si>
    <t>AR-126</t>
  </si>
  <si>
    <t>AR-127</t>
  </si>
  <si>
    <t>Delete cost for salvaged wood treads- find low cost/free material</t>
  </si>
  <si>
    <t>Use salvaged Tech Tower joists</t>
  </si>
  <si>
    <t>AR-128</t>
  </si>
  <si>
    <t>Delete bee box / outdoor study area</t>
  </si>
  <si>
    <t>Need to further define what this entails/changes</t>
  </si>
  <si>
    <t>AR-129</t>
  </si>
  <si>
    <t>Drop structure at auditorium to remove need for ramp</t>
  </si>
  <si>
    <t>AR-130</t>
  </si>
  <si>
    <t>Reduce classroom capacity to 50, and auditorium capacity to 120</t>
  </si>
  <si>
    <t>AR-131</t>
  </si>
  <si>
    <t>Substitute alternate girt system at metal panels</t>
  </si>
  <si>
    <t>Will adjust pricing based on alternate manufacturer already in spec</t>
  </si>
  <si>
    <t>AR-132</t>
  </si>
  <si>
    <t>Topping slab thickness reduction from 3.5" to 3" (material only - structure to be evaluated)</t>
  </si>
  <si>
    <t>AR-133</t>
  </si>
  <si>
    <t>Remove steel corner detail @ brick exterior by changing to stacked bond.  Use break metal</t>
  </si>
  <si>
    <t>AR-134</t>
  </si>
  <si>
    <t>Remove the Coffee Cart (no water or power)</t>
  </si>
  <si>
    <t>Skanska to verify with GT if accepted/rejected</t>
  </si>
  <si>
    <t>Not incorporated in GMP</t>
  </si>
  <si>
    <t xml:space="preserve">Not incorporated in drawings </t>
  </si>
  <si>
    <t>AR-134a</t>
  </si>
  <si>
    <t xml:space="preserve">     Replace CT-2 tile with paint</t>
  </si>
  <si>
    <t>AR-134b</t>
  </si>
  <si>
    <t xml:space="preserve">     Remove Coffee Cart Rollers</t>
  </si>
  <si>
    <t>AR-134c</t>
  </si>
  <si>
    <t xml:space="preserve">     Remove Basecabinet w/ Counter</t>
  </si>
  <si>
    <t>AR-134d</t>
  </si>
  <si>
    <t xml:space="preserve">     Reduce Banquette</t>
  </si>
  <si>
    <t>AR-134e</t>
  </si>
  <si>
    <t xml:space="preserve">     Remove Sink, Pipe, and water heater</t>
  </si>
  <si>
    <t>AR-134f</t>
  </si>
  <si>
    <t xml:space="preserve">     Remove Power</t>
  </si>
  <si>
    <t>AR-134g</t>
  </si>
  <si>
    <t xml:space="preserve">     Remove (9) PV panels</t>
  </si>
  <si>
    <t>C-01a</t>
  </si>
  <si>
    <t>Further reduction of Herbaceous Perennials - 12" spacing</t>
  </si>
  <si>
    <t>LAS to revise docs / Skanska to confirm pricing for spacing change from 10" to 12"</t>
  </si>
  <si>
    <t>Incorporated in GMP at negative allowance pending confirmation in next set of documents.  See allowances</t>
  </si>
  <si>
    <t>C-101</t>
  </si>
  <si>
    <t>Irrigation target reduction</t>
  </si>
  <si>
    <t>Vendor assumption is $80-90K value of roof and ground level system.</t>
  </si>
  <si>
    <t xml:space="preserve">Call with Russell 10/3 to discuss with consultant.  </t>
  </si>
  <si>
    <t>C-101a</t>
  </si>
  <si>
    <t>Remove back flow preventer</t>
  </si>
  <si>
    <t>per Russell</t>
  </si>
  <si>
    <t>C-101b</t>
  </si>
  <si>
    <t>Expand irrigation line spacing to 24" (from 12") includes C-101c</t>
  </si>
  <si>
    <t>Site spacing is 24", roof 12"</t>
  </si>
  <si>
    <t>C-101c</t>
  </si>
  <si>
    <t>Remove inner drop lines at trees (in above reduction of line spacing)</t>
  </si>
  <si>
    <t>per Russell - value included in C-101b</t>
  </si>
  <si>
    <t>C-101d</t>
  </si>
  <si>
    <t>Open controller to Calsense vs. Baseline</t>
  </si>
  <si>
    <t>per Russell - Calsense is an increase in cost</t>
  </si>
  <si>
    <t>C-101e</t>
  </si>
  <si>
    <t>Remove pipe sleeves (HDPE)</t>
  </si>
  <si>
    <t>per Russell - not recommended to remove sleeve</t>
  </si>
  <si>
    <t>C-101f</t>
  </si>
  <si>
    <t>Replace underground irrigation with overhead system</t>
  </si>
  <si>
    <t>Don't want spray tied to grey water system</t>
  </si>
  <si>
    <t>C-101g</t>
  </si>
  <si>
    <t>Remove the vestibule green roof irrigation - add this system to VE list</t>
  </si>
  <si>
    <t>pending Russell confirmation on this value / Would create additional burden on systems to process condensate water being used for this irrigation.</t>
  </si>
  <si>
    <t>C-102</t>
  </si>
  <si>
    <t>Reduce planting beds/soil volume</t>
  </si>
  <si>
    <t>1,518 CY represents 75% of the planting soil increase</t>
  </si>
  <si>
    <t>Landscape/civil to review required storage</t>
  </si>
  <si>
    <t xml:space="preserve">C-102 &amp; C-111 combine for a reduction of 1,391 CY.  Based on LS101 a reduction of 857 CY was realized.  </t>
  </si>
  <si>
    <t>C-104</t>
  </si>
  <si>
    <t>Target reduction for alternative manufacturer for storm retention</t>
  </si>
  <si>
    <t>100% recycled HDPE HydroVault system</t>
  </si>
  <si>
    <t>Pending update per Dennis Taylor and Reeves</t>
  </si>
  <si>
    <t>C-105</t>
  </si>
  <si>
    <t>Reduce/consolidate storage cube footprint</t>
  </si>
  <si>
    <t>site reduction and effects are pending</t>
  </si>
  <si>
    <t xml:space="preserve">Not incorporated in drawings.  Storage volume has actually </t>
  </si>
  <si>
    <t>C-106</t>
  </si>
  <si>
    <t>Reduce bed storage depth 6"-12"</t>
  </si>
  <si>
    <t>revised soil depth plan is pending</t>
  </si>
  <si>
    <t>Not incorporated.  Item is reflected in C-103 and C-111 already</t>
  </si>
  <si>
    <t>C-107</t>
  </si>
  <si>
    <t>Reduce vehicular pavement from 12" to 8"</t>
  </si>
  <si>
    <t>C-108</t>
  </si>
  <si>
    <t>Reduce subbase at porous sidewalks to 6"</t>
  </si>
  <si>
    <t>6" of 57 stone and 2" choker course</t>
  </si>
  <si>
    <t>C-109</t>
  </si>
  <si>
    <t xml:space="preserve">Change State Street sidewalk from porous concrete to standard </t>
  </si>
  <si>
    <t>C-110</t>
  </si>
  <si>
    <t>Remove sewer overflow</t>
  </si>
  <si>
    <t>N&amp;B $35,840</t>
  </si>
  <si>
    <t>C-103</t>
  </si>
  <si>
    <t xml:space="preserve">Target reduction on hardscape - remaining after C-111 </t>
  </si>
  <si>
    <t>original target $100,000, this represents the remaining target</t>
  </si>
  <si>
    <t>Landscape/civil to review possible changes- Skanska to confirm savings</t>
  </si>
  <si>
    <t>Not incorporated.  No information on target changes provided.  Will reflect any changes in GMP "true-up" estimate.</t>
  </si>
  <si>
    <t>C-111</t>
  </si>
  <si>
    <t>Site Boundary Reduction per LD101 on 10/6/17</t>
  </si>
  <si>
    <t xml:space="preserve">     Remove porous pavement</t>
  </si>
  <si>
    <t>LAS to revise documents</t>
  </si>
  <si>
    <t xml:space="preserve">     Remove sidewalk @ boardwalk Alternate area</t>
  </si>
  <si>
    <t xml:space="preserve">     Remove concrete steps</t>
  </si>
  <si>
    <t xml:space="preserve">     Remove planted area - soil</t>
  </si>
  <si>
    <t xml:space="preserve">     Remove Z type fixtures</t>
  </si>
  <si>
    <t xml:space="preserve">Incorporated in documents </t>
  </si>
  <si>
    <t>ST-101</t>
  </si>
  <si>
    <t>Steel framing/composite slab ilo elevated concrete deck</t>
  </si>
  <si>
    <t>Dividing line from ground floor to basement needs to be evaluated.</t>
  </si>
  <si>
    <t>ST-102</t>
  </si>
  <si>
    <t>Steel frame/wood decking ilo glu-lam/NLT (assumes 12#/sf steel)</t>
  </si>
  <si>
    <t>Need to evaluate vs working with steel/glulam subs to drive costs of glulam/NLT back to 50%DD cost</t>
  </si>
  <si>
    <t>Need to set up meeting with Skanska/LAS/U&amp;C, and subs</t>
  </si>
  <si>
    <t>ST-103</t>
  </si>
  <si>
    <t>Review of Steel/wood design with vendors/design team</t>
  </si>
  <si>
    <t>ST-104</t>
  </si>
  <si>
    <t>Turnkey package for all structure</t>
  </si>
  <si>
    <t xml:space="preserve">proposal received 10/24/17, No savings </t>
  </si>
  <si>
    <t>Not incorporated.  Turnkey package did not yield savings, and eliminated the use of salvaged lumber in NLT panels.</t>
  </si>
  <si>
    <t>ST-105</t>
  </si>
  <si>
    <t>Coordination of Brace Frame scope per 10/10/17 Structure meeting</t>
  </si>
  <si>
    <t>meeting held 10/10/17</t>
  </si>
  <si>
    <t>Skanska to lead review w/ Southern Timber</t>
  </si>
  <si>
    <t>Not incorporated.  Vendor who had this risk dropped from bidding.  Next subcontractor carried.</t>
  </si>
  <si>
    <t>ST-107</t>
  </si>
  <si>
    <t>Target reduction of Timber Structure through review of NLT deck</t>
  </si>
  <si>
    <t>ST-108</t>
  </si>
  <si>
    <t>PV Canopy adjustment to return to a ballasted system over east roof</t>
  </si>
  <si>
    <t xml:space="preserve">LAS/MHP needs to know how many sf need to go back on the roof. </t>
  </si>
  <si>
    <t>LAS &amp; U+C to provide narrative &amp; drawing</t>
  </si>
  <si>
    <t>Not incorporated.  Ballasted system efficiency was lower, which would have required more panels.</t>
  </si>
  <si>
    <t>ST-109</t>
  </si>
  <si>
    <t>Target reduction of installation of NLT &amp; Glu Lam system</t>
  </si>
  <si>
    <t>Skanska in review to achieve target</t>
  </si>
  <si>
    <t>Skanska</t>
  </si>
  <si>
    <t>MP-101</t>
  </si>
  <si>
    <t>Remove (2) composting bins @ basement</t>
  </si>
  <si>
    <t>Based upon occupant load.</t>
  </si>
  <si>
    <t>MP-08</t>
  </si>
  <si>
    <t>Overhead Air Distribution @ Auditorium</t>
  </si>
  <si>
    <t>Revised 10/11/17</t>
  </si>
  <si>
    <t>Slight increase (1/2 EUI)</t>
  </si>
  <si>
    <t>Remove Raised Access Flooring including floor registers</t>
  </si>
  <si>
    <t>MP-08c</t>
  </si>
  <si>
    <t xml:space="preserve">Mechanical System add - OA requirement w/ relief, fully ducted, wrapped, and 30 diffusers </t>
  </si>
  <si>
    <t>BKI value per review of N&amp;B narrative</t>
  </si>
  <si>
    <t>N&amp;B provided narrative</t>
  </si>
  <si>
    <t>MP-08d</t>
  </si>
  <si>
    <t>Change Controls and Instrumentation for overhead air distribution in lieu of underfloor ( eliminate 2 big ass fans)</t>
  </si>
  <si>
    <t>JCI removed controls of fans, they are controled by a wall switch, so no $ to remove</t>
  </si>
  <si>
    <t>NCB to provide narrative for alignment of JCI required scope.</t>
  </si>
  <si>
    <t>MP-08e</t>
  </si>
  <si>
    <t>Power and Data modification with conduit in slab</t>
  </si>
  <si>
    <t>MP-08f</t>
  </si>
  <si>
    <t>Deduct 2 big ass fans</t>
  </si>
  <si>
    <t>N&amp;B deleted per supplying high and returning low</t>
  </si>
  <si>
    <t>Not incorporated in drawings  - A411</t>
  </si>
  <si>
    <t>MP-102</t>
  </si>
  <si>
    <t>Allow fiberglass insulation on chilled water piping, exterior roof piping, and riser piping in lieu of foamglass - keep all mechanical piping located 8' and below as cellular glass</t>
  </si>
  <si>
    <t>LAS/NCB to revise docs</t>
  </si>
  <si>
    <t>MP-103</t>
  </si>
  <si>
    <t>Remove Grey Water treatment skid and assoicated piping &amp; tanks</t>
  </si>
  <si>
    <t xml:space="preserve">Remove the greywater treatment skid and assoicated piping.  </t>
  </si>
  <si>
    <t>Erin updated diagram, pricing due</t>
  </si>
  <si>
    <t>MP-104</t>
  </si>
  <si>
    <t>Relocate Main GW Treatment tank inside building / eliminate long UG run</t>
  </si>
  <si>
    <t>Rejected 10/24/17</t>
  </si>
  <si>
    <t>MP-105</t>
  </si>
  <si>
    <t>Eliminate one Mop Sink                                                                                                      </t>
  </si>
  <si>
    <t>MP-106</t>
  </si>
  <si>
    <t>Utilize standard Galvanized ductwork</t>
  </si>
  <si>
    <t>Would need LBC exception</t>
  </si>
  <si>
    <t>MP-107</t>
  </si>
  <si>
    <t>Change the 316 stainless ductwork to 304 stainless materials</t>
  </si>
  <si>
    <t>Offer a credit of $4,610 to use 316 SS ilo 304 SS or a credit of $3,015 to use aluminum</t>
  </si>
  <si>
    <t>MP-108</t>
  </si>
  <si>
    <t>Remove the liner from the OA ductwork / utilize external wrap</t>
  </si>
  <si>
    <t>MP-109</t>
  </si>
  <si>
    <t>Review integrated automation system for potential savings (target)</t>
  </si>
  <si>
    <t>MP-109a</t>
  </si>
  <si>
    <t>Remove Fire Alarm Integration</t>
  </si>
  <si>
    <t>value reflected in base #</t>
  </si>
  <si>
    <t>N&amp;B to revise docs</t>
  </si>
  <si>
    <t>MP-109b</t>
  </si>
  <si>
    <t>Remove Elevator Integration</t>
  </si>
  <si>
    <t>MP-109c</t>
  </si>
  <si>
    <t>Reduce Custom Dashboard profiles to (4)</t>
  </si>
  <si>
    <t>MP-110</t>
  </si>
  <si>
    <t>Replace distributed CO2 and relative humidity sensors with Aircuity system.</t>
  </si>
  <si>
    <t>AirCuity is a $100,000 add per JCI</t>
  </si>
  <si>
    <t>Skanska to get pricing from JCI</t>
  </si>
  <si>
    <t>MP-111</t>
  </si>
  <si>
    <t>Remove all Unit Heaters from the project.</t>
  </si>
  <si>
    <t>MP-112</t>
  </si>
  <si>
    <t>Remove all Baseboard Heaters from the project.</t>
  </si>
  <si>
    <t>MP-113</t>
  </si>
  <si>
    <t>Combine FCU-101 and FCU-102 into one FCU.</t>
  </si>
  <si>
    <t>MP-114</t>
  </si>
  <si>
    <t>Combine FCU-201 and FCU-202 into one FCU.</t>
  </si>
  <si>
    <t>MP-115</t>
  </si>
  <si>
    <t>Controls VE (use cable tray already in job ILO conduit where possible)</t>
  </si>
  <si>
    <t>JCI priced per N&amp;B sketch</t>
  </si>
  <si>
    <t>MP-116</t>
  </si>
  <si>
    <t>Serve Office &amp; Class Lab sinks from water line on second floor.</t>
  </si>
  <si>
    <t>Need to evaluate sharing of lines between 1st &amp; 2nd floors for further reductions.</t>
  </si>
  <si>
    <t>N&amp;B and BKI to review and revise docs</t>
  </si>
  <si>
    <t>MP-117</t>
  </si>
  <si>
    <t>Alternate composting toilet manufacturer/revised phoenix installation price</t>
  </si>
  <si>
    <t>MP-118</t>
  </si>
  <si>
    <t>Excess Ductwork to another GT Project</t>
  </si>
  <si>
    <t>Anticipating 8,790 pounds of left over material, value is $6,700</t>
  </si>
  <si>
    <t>MP-119</t>
  </si>
  <si>
    <t>Alternate material ILO stainless ductwork for exhaust duct</t>
  </si>
  <si>
    <t>Double entry to MP-107</t>
  </si>
  <si>
    <t>MP-120</t>
  </si>
  <si>
    <t>Delete two radiant heat zones, combine RZ-108B w/ RZ-108A (no change in sf) and delete RZ-103B and associated 160 sf</t>
  </si>
  <si>
    <t>MP-121</t>
  </si>
  <si>
    <t>Remove eye washes</t>
  </si>
  <si>
    <t>MP-122</t>
  </si>
  <si>
    <t>revised Uponor price</t>
  </si>
  <si>
    <t>MP-123</t>
  </si>
  <si>
    <t>Rainwater to Potable treatment skid per Georgia Tank</t>
  </si>
  <si>
    <t>remove filter redundancy in the potable water system</t>
  </si>
  <si>
    <t>GA Tanks updated diagram, pricing due</t>
  </si>
  <si>
    <t>Partial reduction incorporated +/- $33k not realized</t>
  </si>
  <si>
    <t>MP-124</t>
  </si>
  <si>
    <t>Remove Classroom Fan Controls and Wiring</t>
  </si>
  <si>
    <t>E-101</t>
  </si>
  <si>
    <t>Combine solar arrays, eliminating smaller array and DC microgrid</t>
  </si>
  <si>
    <t>This represents scope removed from both Hanna and electrical</t>
  </si>
  <si>
    <t>Incorporated into drawings</t>
  </si>
  <si>
    <t>E-102</t>
  </si>
  <si>
    <t>Remove floor data (floor box) connections in the Innovation Learning Area and Collaboration Areas. Utilizing more wireless instead hard-wired connections. The floor box infrastructure would remain if GT OIT would want to add more cabling in the future.</t>
  </si>
  <si>
    <t xml:space="preserve">GT stated that (2) data outlets were required at each location but no floor boxes would be required. </t>
  </si>
  <si>
    <t>Skanska to verify scope being removed.</t>
  </si>
  <si>
    <t>E-103</t>
  </si>
  <si>
    <t>Remove 3 video surveillance cameras covering elevator lobbies and add one inside the elevator to provide similar coverage.  Add a camera at 2nd floor egress from roof</t>
  </si>
  <si>
    <t>E-104</t>
  </si>
  <si>
    <r>
      <t>Remove Stair 199 camera. The interior entrance is covered on the 2</t>
    </r>
    <r>
      <rPr>
        <vertAlign val="superscript"/>
        <sz val="11"/>
        <color rgb="FF000000"/>
        <rFont val="Arial"/>
        <family val="2"/>
      </rPr>
      <t>nd</t>
    </r>
    <r>
      <rPr>
        <sz val="11"/>
        <color rgb="FF000000"/>
        <rFont val="Arial"/>
        <family val="2"/>
      </rPr>
      <t xml:space="preserve"> floor.</t>
    </r>
  </si>
  <si>
    <t>moved to the 2nd floor and one camera removed</t>
  </si>
  <si>
    <t>E-105</t>
  </si>
  <si>
    <t>Remove wireless lock and provide standard key locks for all Electrical Rooms.</t>
  </si>
  <si>
    <t>E-106</t>
  </si>
  <si>
    <t>Remove wireless locks and provide standard key locks for all Class Rooms and Labs.</t>
  </si>
  <si>
    <t>E-107</t>
  </si>
  <si>
    <r>
      <t>Remove wall data behind lecterns in 1</t>
    </r>
    <r>
      <rPr>
        <vertAlign val="superscript"/>
        <sz val="11"/>
        <color rgb="FF000000"/>
        <rFont val="Arial"/>
        <family val="2"/>
      </rPr>
      <t>st</t>
    </r>
    <r>
      <rPr>
        <sz val="11"/>
        <color rgb="FF000000"/>
        <rFont val="Arial"/>
        <family val="2"/>
      </rPr>
      <t xml:space="preserve"> floor Classrooms and keep data in the floor box only.</t>
    </r>
  </si>
  <si>
    <t>E-108</t>
  </si>
  <si>
    <t>Reduce data drops in open office to 1 data per workstation and accommodate 1 future data or voice jack at each desk</t>
  </si>
  <si>
    <t>E-109</t>
  </si>
  <si>
    <t>Consolidate 2 standard cameras to one multi-sensor camera in the Lobby Display of Level 1</t>
  </si>
  <si>
    <t>E-111</t>
  </si>
  <si>
    <t>Limit the networked lighting control system to regularly occupied spaces.  In BOH spaces, provide only vacancy sensors or timer switches.</t>
  </si>
  <si>
    <t>E-112</t>
  </si>
  <si>
    <t>Target Lighting Fixture Package Reduction to $14/SF for Lighting/Controls Installed</t>
  </si>
  <si>
    <t xml:space="preserve">This is a $2.5/sf target reduce for the interior fixture package.  </t>
  </si>
  <si>
    <t>Action item for design assist meetings</t>
  </si>
  <si>
    <t>E-112a</t>
  </si>
  <si>
    <t>Basement light fixture adjustment</t>
  </si>
  <si>
    <t>LAS/N&amp;B to revise docs</t>
  </si>
  <si>
    <t>Incorporated in GMP- Fixtures were added, not removed.</t>
  </si>
  <si>
    <t>E-112b</t>
  </si>
  <si>
    <t>Boost up the lumen and shorten the fixture length</t>
  </si>
  <si>
    <t>action per electrical review 10/20/17</t>
  </si>
  <si>
    <t>Incorporated into Dwg's -  Lumens have also been increased based on the new luminaire Schedule compared to 100% DD</t>
  </si>
  <si>
    <t>E-113</t>
  </si>
  <si>
    <t>Reduce fire alarm to code minimum in circulation spaces.  GT standard requires additional devices.</t>
  </si>
  <si>
    <t>N&amp;B to review</t>
  </si>
  <si>
    <t>N&amp;B to review what this would do, and get GT to review/approve</t>
  </si>
  <si>
    <t>Not Incorporated into drawings.</t>
  </si>
  <si>
    <t>E-114</t>
  </si>
  <si>
    <t>Remove (1) camera at roof hatch</t>
  </si>
  <si>
    <t>Incorporated into drawings - T113A</t>
  </si>
  <si>
    <t>E-115</t>
  </si>
  <si>
    <t>Reduce the number of outlets in each room (class lab, classrooms)</t>
  </si>
  <si>
    <t>N&amp;B to review the reduction in outlets</t>
  </si>
  <si>
    <t>Incorporated into drawings - along ext. walls of rooms</t>
  </si>
  <si>
    <t>E-116</t>
  </si>
  <si>
    <t>Remove Blue Phones from project</t>
  </si>
  <si>
    <t>Skanska to verify with GT</t>
  </si>
  <si>
    <t>Sheet T010 - ECS phones still shown, but note below states they are not in the contract</t>
  </si>
  <si>
    <t>E-117</t>
  </si>
  <si>
    <t>Remove type Z fixtures from the west side of the site</t>
  </si>
  <si>
    <t>Incorporated into drawings - Note states (NIC)</t>
  </si>
  <si>
    <t>E-118</t>
  </si>
  <si>
    <t>Lai VE items to Eckardt to update</t>
  </si>
  <si>
    <t>AV-101</t>
  </si>
  <si>
    <t xml:space="preserve">Remove third projector in Auditorium on short wall.  </t>
  </si>
  <si>
    <t>Skanska to price, GT to review is appropriate</t>
  </si>
  <si>
    <t>AV-102</t>
  </si>
  <si>
    <t>Remove projection system in Innovation Learning.  This is a small area that could be served by a display on cart.</t>
  </si>
  <si>
    <t>New/Revisited topics discussed in 10/12 Meeting:</t>
  </si>
  <si>
    <t>Remove the irrigation system tied to the condensate</t>
  </si>
  <si>
    <t>Reduce the building occupancy through shorter hours of operation</t>
  </si>
  <si>
    <t>Remove the Bee Box</t>
  </si>
  <si>
    <t xml:space="preserve">Reduce the occupancy of the Auditorium </t>
  </si>
  <si>
    <t>Remove all type B light fixtures and replace with another pendant</t>
  </si>
  <si>
    <t>Reduce 50% of the lights hung from the PV</t>
  </si>
  <si>
    <t>Class labs - remove (1) row of lights (3 to 2 rows)</t>
  </si>
  <si>
    <t>Hanna Solar to review Battery system by Telsa PowerPack &amp; Switch powered by GELI</t>
  </si>
  <si>
    <t>Windows manual vs. automatic</t>
  </si>
  <si>
    <t>Genwall system analysis</t>
  </si>
  <si>
    <t>Z-01</t>
  </si>
  <si>
    <t>SUBTOTAL (Non-Exclusive)</t>
  </si>
  <si>
    <t>Z-02</t>
  </si>
  <si>
    <t>MARKUPS ADJUSTMENT</t>
  </si>
  <si>
    <t>Z-03</t>
  </si>
  <si>
    <t>GRAND TOTAL</t>
  </si>
  <si>
    <t>Accepted VE Total</t>
  </si>
  <si>
    <t>Pending VE Total</t>
  </si>
  <si>
    <t>Estimate Total</t>
  </si>
  <si>
    <t>Estimate Total w/ Accepted VE</t>
  </si>
  <si>
    <t>Estimate Total w/ Pending VE</t>
  </si>
  <si>
    <t>Gap to Budget with Accepted VE</t>
  </si>
  <si>
    <t>Gap to Budget w/ Accepted &amp; Pending VE</t>
  </si>
  <si>
    <t>Accepted VE Contingencies</t>
  </si>
  <si>
    <t>Projected with Pending VE Contingencies</t>
  </si>
  <si>
    <t>Revised Direct Cost w/ Accepted VE</t>
  </si>
  <si>
    <t>Revised Direct Cost with Accepted &amp; Pending VE</t>
  </si>
  <si>
    <t>Design Contingency Remaining</t>
  </si>
  <si>
    <t>Escalation Remaining</t>
  </si>
  <si>
    <t>Contractor's Contingency Remaining</t>
  </si>
  <si>
    <t>Total Contingencies Remaining</t>
  </si>
  <si>
    <t>9A</t>
  </si>
  <si>
    <t>DRYWALL</t>
  </si>
  <si>
    <t>9B</t>
  </si>
  <si>
    <t>CEILINGS</t>
  </si>
  <si>
    <t>9C</t>
  </si>
  <si>
    <t>26A</t>
  </si>
  <si>
    <t>26B</t>
  </si>
  <si>
    <t>Armstrong</t>
  </si>
  <si>
    <t>CertainTeed</t>
  </si>
  <si>
    <t>USG</t>
  </si>
  <si>
    <t>Ceiling Grid</t>
  </si>
  <si>
    <t>Ceiling Tile</t>
  </si>
  <si>
    <t>Acoustical Sealant</t>
  </si>
  <si>
    <t>Accessories</t>
  </si>
  <si>
    <t>Skanska Budget</t>
  </si>
  <si>
    <t>Materials Procurement Plan</t>
  </si>
  <si>
    <t>The Living Building @ Georgia Tech</t>
  </si>
  <si>
    <t>Sub Quote</t>
  </si>
  <si>
    <t>Comments</t>
  </si>
  <si>
    <t>Assume 100% waste</t>
  </si>
  <si>
    <t>Assume 10% waste</t>
  </si>
  <si>
    <t>Assume 0% waste for tile, grid, accessories</t>
  </si>
  <si>
    <t xml:space="preserve">Assume 10% waste for rubber base </t>
  </si>
  <si>
    <t xml:space="preserve">Do not include paint in waste estimate- assume 0%. </t>
  </si>
  <si>
    <t xml:space="preserve">Do not include sealant in waste estimate- assume 0%. </t>
  </si>
  <si>
    <t>Assume 0% waste for materials marked with "ea" quantity (each)</t>
  </si>
  <si>
    <t xml:space="preserve">Do not include acoustical mat, one coat stain, connecting hardware, glu-lam, or glu-lam insulation in waste estimate- assume 0%. </t>
  </si>
  <si>
    <t>Item by weight</t>
  </si>
  <si>
    <t xml:space="preserve">Assume 10% waste. </t>
  </si>
  <si>
    <t>(Gypsum Board)</t>
  </si>
  <si>
    <t>pounds</t>
  </si>
  <si>
    <t>1" Rigid Insulation below topping slab @ Lvl 1 Radiant Floor</t>
  </si>
  <si>
    <t>Item by volume</t>
  </si>
  <si>
    <t>cubic yards</t>
  </si>
  <si>
    <t xml:space="preserve">cubic yards </t>
  </si>
  <si>
    <t>cubic yard</t>
  </si>
  <si>
    <t>Other non-recyclable waste</t>
  </si>
  <si>
    <t>Unit of Measure provided</t>
  </si>
  <si>
    <t>cubic feet</t>
  </si>
  <si>
    <t>Cardboard</t>
  </si>
  <si>
    <t xml:space="preserve">Assume 100% waste </t>
  </si>
  <si>
    <t>AND INSULATION</t>
  </si>
  <si>
    <t>*Note: complete yellow highlighted sections</t>
  </si>
  <si>
    <t xml:space="preserve">Do not include backup and furring. </t>
  </si>
  <si>
    <t>Assume 10% waste for all materials except those marked as "ea."</t>
  </si>
  <si>
    <t>Total waste by volume and weight: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</si>
</sst>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quot;$&quot;#,##0.0"/>
    <numFmt numFmtId="167" formatCode="[$-409]mmmm\ d\,\ yyyy;@"/>
    <numFmt numFmtId="168" formatCode="_(* #,##0_);_(* \(#,##0\);_(* &quot;-&quot;??_);_(@_)"/>
    <numFmt numFmtId="169" formatCode="_(&quot;$&quot;* #,##0_);_(&quot;$&quot;* \(#,##0\);_(&quot;$&quot;* &quot;-&quot;??_);_(@_)"/>
    <numFmt numFmtId="170" formatCode="0.0%"/>
    <numFmt numFmtId="171" formatCode="dd\-mmm\-yy"/>
    <numFmt numFmtId="172" formatCode="_(* #,##0.0000000_);_(* \(#,##0.0000000\);_(* &quot;-&quot;_);_(@_)"/>
    <numFmt numFmtId="173" formatCode="#,##0.0"/>
    <numFmt numFmtId="174" formatCode="0.0"/>
  </numFmts>
  <fonts count="11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u/>
      <sz val="10"/>
      <color indexed="12"/>
      <name val="Arial"/>
      <family val="2"/>
    </font>
    <font>
      <sz val="10"/>
      <name val="Arial"/>
      <family val="2"/>
    </font>
    <font>
      <sz val="12"/>
      <name val="Arial"/>
      <family val="2"/>
    </font>
    <font>
      <sz val="12"/>
      <color indexed="12"/>
      <name val="Arial"/>
      <family val="2"/>
    </font>
    <font>
      <sz val="12"/>
      <color indexed="8"/>
      <name val="Arial"/>
      <family val="2"/>
    </font>
    <font>
      <b/>
      <sz val="12"/>
      <name val="Arial"/>
      <family val="2"/>
    </font>
    <font>
      <b/>
      <sz val="12"/>
      <color indexed="8"/>
      <name val="Arial"/>
      <family val="2"/>
    </font>
    <font>
      <b/>
      <sz val="12"/>
      <name val="Arial"/>
      <family val="2"/>
    </font>
    <font>
      <sz val="7"/>
      <name val="Small Fonts"/>
      <family val="2"/>
    </font>
    <font>
      <b/>
      <sz val="22"/>
      <name val="Skanska Sans Regular"/>
      <family val="2"/>
    </font>
    <font>
      <sz val="22"/>
      <name val="Arial"/>
      <family val="2"/>
    </font>
    <font>
      <sz val="18"/>
      <name val="Skanska Sans Regular"/>
      <family val="2"/>
    </font>
    <font>
      <sz val="16"/>
      <name val="Skanska Sans Regular"/>
      <family val="2"/>
    </font>
    <font>
      <sz val="14"/>
      <name val="Arial"/>
      <family val="2"/>
    </font>
    <font>
      <b/>
      <sz val="14"/>
      <name val="Skanska Sans Regular"/>
      <family val="2"/>
    </font>
    <font>
      <sz val="14"/>
      <name val="Skanska Sans Regular"/>
      <family val="2"/>
    </font>
    <font>
      <b/>
      <sz val="18"/>
      <name val="Skanska Sans Regular"/>
      <family val="2"/>
    </font>
    <font>
      <sz val="14"/>
      <color indexed="10"/>
      <name val="Skanska Sans Regular"/>
      <family val="2"/>
    </font>
    <font>
      <sz val="24"/>
      <name val="Arial"/>
      <family val="2"/>
    </font>
    <font>
      <sz val="18"/>
      <name val="Arial"/>
      <family val="2"/>
    </font>
    <font>
      <sz val="10"/>
      <color indexed="10"/>
      <name val="Arial"/>
      <family val="2"/>
    </font>
    <font>
      <b/>
      <sz val="12"/>
      <color indexed="10"/>
      <name val="Arial"/>
      <family val="2"/>
    </font>
    <font>
      <sz val="12"/>
      <color indexed="10"/>
      <name val="Arial"/>
      <family val="2"/>
    </font>
    <font>
      <sz val="22"/>
      <name val="Skanska Sans Regular"/>
      <family val="2"/>
    </font>
    <font>
      <b/>
      <sz val="14"/>
      <name val="Arial"/>
      <family val="2"/>
    </font>
    <font>
      <b/>
      <sz val="24"/>
      <name val="Arial"/>
      <family val="2"/>
    </font>
    <font>
      <sz val="10"/>
      <name val="Skanska Sans Regular"/>
      <family val="2"/>
    </font>
    <font>
      <b/>
      <sz val="10"/>
      <name val="Arial"/>
      <family val="2"/>
    </font>
    <font>
      <b/>
      <sz val="18"/>
      <name val="Arial"/>
      <family val="2"/>
    </font>
    <font>
      <sz val="20"/>
      <name val="Skanska Sans Regular"/>
      <family val="2"/>
    </font>
    <font>
      <b/>
      <u/>
      <sz val="20"/>
      <name val="Skanska Sans Regular"/>
      <family val="2"/>
    </font>
    <font>
      <b/>
      <sz val="20"/>
      <name val="Skanska Sans Regular"/>
      <family val="2"/>
    </font>
    <font>
      <sz val="10"/>
      <color indexed="10"/>
      <name val="Skanska Sans Regular"/>
      <family val="2"/>
    </font>
    <font>
      <sz val="20"/>
      <color indexed="9"/>
      <name val="Skanska Sans Regular"/>
      <family val="2"/>
    </font>
    <font>
      <sz val="12"/>
      <name val="Skanska Sans Regular"/>
      <family val="2"/>
    </font>
    <font>
      <b/>
      <sz val="20"/>
      <color indexed="9"/>
      <name val="Skanska Sans Regular"/>
      <family val="2"/>
    </font>
    <font>
      <sz val="18"/>
      <color indexed="9"/>
      <name val="Skanska Sans Regular"/>
      <family val="2"/>
    </font>
    <font>
      <sz val="12"/>
      <color indexed="10"/>
      <name val="Skanska Sans Regular"/>
      <family val="2"/>
    </font>
    <font>
      <sz val="10"/>
      <color indexed="55"/>
      <name val="Skanska Sans Regular"/>
      <family val="2"/>
    </font>
    <font>
      <sz val="18"/>
      <color indexed="10"/>
      <name val="Skanska Sans Regular"/>
      <family val="2"/>
    </font>
    <font>
      <sz val="14"/>
      <color indexed="9"/>
      <name val="Skanska Sans Regular"/>
      <family val="2"/>
    </font>
    <font>
      <b/>
      <sz val="12"/>
      <name val="Skanska Sans Regular"/>
      <family val="2"/>
    </font>
    <font>
      <b/>
      <sz val="12"/>
      <color indexed="10"/>
      <name val="Skanska Sans Regular"/>
      <family val="2"/>
    </font>
    <font>
      <b/>
      <sz val="18"/>
      <color indexed="9"/>
      <name val="Skanska Sans Regular"/>
      <family val="2"/>
    </font>
    <font>
      <b/>
      <sz val="12"/>
      <color indexed="12"/>
      <name val="Arial"/>
      <family val="2"/>
    </font>
    <font>
      <i/>
      <sz val="10"/>
      <name val="Skanska Sans Regular"/>
      <family val="2"/>
    </font>
    <font>
      <sz val="9"/>
      <color indexed="8"/>
      <name val="Skanska Sans Regular"/>
      <family val="2"/>
    </font>
    <font>
      <b/>
      <i/>
      <sz val="16"/>
      <name val="Skanska Sans Regular"/>
      <family val="2"/>
    </font>
    <font>
      <b/>
      <sz val="10"/>
      <name val="Skanska Sans Regular"/>
      <family val="2"/>
    </font>
    <font>
      <b/>
      <sz val="9"/>
      <name val="Skanska Sans Regular"/>
      <family val="2"/>
    </font>
    <font>
      <sz val="9"/>
      <name val="Skanska Sans Regular"/>
      <family val="2"/>
    </font>
    <font>
      <b/>
      <sz val="10"/>
      <color indexed="10"/>
      <name val="Arial"/>
      <family val="2"/>
    </font>
    <font>
      <sz val="10"/>
      <color indexed="9"/>
      <name val="Skanska Sans Regular"/>
      <family val="2"/>
    </font>
    <font>
      <sz val="9"/>
      <color indexed="9"/>
      <name val="Skanska Sans Regular"/>
      <family val="2"/>
    </font>
    <font>
      <b/>
      <i/>
      <sz val="16"/>
      <color indexed="9"/>
      <name val="Skanska Sans Regular"/>
      <family val="2"/>
    </font>
    <font>
      <b/>
      <sz val="10"/>
      <color indexed="23"/>
      <name val="Skanska Sans Regular"/>
      <family val="2"/>
    </font>
    <font>
      <b/>
      <sz val="16"/>
      <color indexed="23"/>
      <name val="Skanska Sans Regular"/>
      <family val="2"/>
    </font>
    <font>
      <sz val="12"/>
      <color indexed="9"/>
      <name val="Skanska Sans Regular"/>
      <family val="2"/>
    </font>
    <font>
      <b/>
      <sz val="12"/>
      <color indexed="9"/>
      <name val="Skanska Sans Regular"/>
      <family val="2"/>
    </font>
    <font>
      <sz val="10"/>
      <name val="MS Sans Serif"/>
      <family val="2"/>
    </font>
    <font>
      <sz val="11"/>
      <color indexed="8"/>
      <name val="Calibri"/>
      <family val="2"/>
    </font>
    <font>
      <sz val="11"/>
      <color indexed="8"/>
      <name val="Calibri"/>
      <family val="2"/>
    </font>
    <font>
      <b/>
      <sz val="14"/>
      <color indexed="8"/>
      <name val="Skanska Sans Regular"/>
      <family val="2"/>
    </font>
    <font>
      <b/>
      <sz val="11"/>
      <color indexed="8"/>
      <name val="Skanska Sans Regular"/>
      <family val="2"/>
    </font>
    <font>
      <sz val="12"/>
      <color indexed="8"/>
      <name val="Skanska Sans Regular"/>
      <family val="2"/>
    </font>
    <font>
      <sz val="11"/>
      <color theme="1"/>
      <name val="Calibri"/>
      <family val="2"/>
      <scheme val="minor"/>
    </font>
    <font>
      <sz val="12"/>
      <color theme="0"/>
      <name val="Arial"/>
      <family val="2"/>
    </font>
    <font>
      <sz val="10"/>
      <color rgb="FFFF0000"/>
      <name val="Skanska Sans Regular"/>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0"/>
      <name val="Times New Roman"/>
      <family val="1"/>
    </font>
    <font>
      <sz val="11"/>
      <color theme="1"/>
      <name val="Arial"/>
      <family val="2"/>
    </font>
    <font>
      <sz val="10"/>
      <color indexed="60"/>
      <name val="Arial"/>
      <family val="2"/>
    </font>
    <font>
      <b/>
      <sz val="10"/>
      <color indexed="60"/>
      <name val="Arial"/>
      <family val="2"/>
    </font>
    <font>
      <b/>
      <sz val="12"/>
      <name val="Arial MT"/>
    </font>
    <font>
      <b/>
      <u/>
      <sz val="11"/>
      <color theme="1"/>
      <name val="Calibri"/>
      <family val="2"/>
      <scheme val="minor"/>
    </font>
    <font>
      <u/>
      <sz val="11"/>
      <color theme="1"/>
      <name val="Calibri"/>
      <family val="2"/>
      <scheme val="minor"/>
    </font>
    <font>
      <sz val="11"/>
      <name val="Calibri"/>
      <family val="2"/>
      <scheme val="minor"/>
    </font>
    <font>
      <u val="singleAccounting"/>
      <sz val="11"/>
      <color theme="1"/>
      <name val="Calibri"/>
      <family val="2"/>
      <scheme val="minor"/>
    </font>
    <font>
      <b/>
      <sz val="12"/>
      <color theme="1"/>
      <name val="Calibri"/>
      <family val="2"/>
      <scheme val="minor"/>
    </font>
    <font>
      <b/>
      <sz val="12"/>
      <name val="Calibri"/>
      <family val="2"/>
      <scheme val="minor"/>
    </font>
    <font>
      <vertAlign val="superscript"/>
      <sz val="11"/>
      <color rgb="FF000000"/>
      <name val="Arial"/>
      <family val="2"/>
    </font>
    <font>
      <sz val="11"/>
      <color rgb="FF000000"/>
      <name val="Arial"/>
      <family val="2"/>
    </font>
    <font>
      <b/>
      <sz val="11"/>
      <name val="Calibri"/>
      <family val="2"/>
      <scheme val="minor"/>
    </font>
    <font>
      <sz val="12"/>
      <color theme="1"/>
      <name val="Arial"/>
      <family val="2"/>
    </font>
    <font>
      <sz val="10"/>
      <color rgb="FF000000"/>
      <name val="Skanska Sans Regular"/>
      <family val="2"/>
    </font>
    <font>
      <i/>
      <sz val="12"/>
      <color rgb="FFFF0000"/>
      <name val="Arial"/>
      <family val="2"/>
    </font>
    <font>
      <b/>
      <i/>
      <sz val="12"/>
      <color rgb="FFFF0000"/>
      <name val="Arial"/>
      <family val="2"/>
    </font>
  </fonts>
  <fills count="51">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11"/>
        <bgColor indexed="64"/>
      </patternFill>
    </fill>
    <fill>
      <patternFill patternType="solid">
        <fgColor indexed="23"/>
        <bgColor indexed="64"/>
      </patternFill>
    </fill>
    <fill>
      <patternFill patternType="solid">
        <fgColor theme="4" tint="0.59999389629810485"/>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070C0"/>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7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medium">
        <color indexed="64"/>
      </bottom>
      <diagonal/>
    </border>
    <border>
      <left style="thin">
        <color indexed="64"/>
      </left>
      <right style="dotted">
        <color theme="1" tint="0.24994659260841701"/>
      </right>
      <top/>
      <bottom style="dotted">
        <color theme="1" tint="0.24994659260841701"/>
      </bottom>
      <diagonal/>
    </border>
    <border>
      <left style="dotted">
        <color theme="1" tint="0.24994659260841701"/>
      </left>
      <right style="dotted">
        <color theme="1" tint="0.24994659260841701"/>
      </right>
      <top/>
      <bottom style="dotted">
        <color theme="1" tint="0.24994659260841701"/>
      </bottom>
      <diagonal/>
    </border>
    <border>
      <left style="dotted">
        <color theme="1" tint="0.24994659260841701"/>
      </left>
      <right style="thin">
        <color indexed="64"/>
      </right>
      <top/>
      <bottom style="dotted">
        <color theme="1" tint="0.24994659260841701"/>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dotted">
        <color theme="1" tint="0.24994659260841701"/>
      </left>
      <right style="thin">
        <color indexed="64"/>
      </right>
      <top style="dotted">
        <color theme="1" tint="0.24994659260841701"/>
      </top>
      <bottom style="dotted">
        <color theme="1" tint="0.24994659260841701"/>
      </bottom>
      <diagonal/>
    </border>
    <border>
      <left style="thin">
        <color indexed="64"/>
      </left>
      <right style="dotted">
        <color theme="1" tint="0.24994659260841701"/>
      </right>
      <top style="dotted">
        <color theme="1" tint="0.24994659260841701"/>
      </top>
      <bottom style="dotted">
        <color theme="1" tint="0.24994659260841701"/>
      </bottom>
      <diagonal/>
    </border>
    <border>
      <left style="dotted">
        <color theme="1" tint="0.24994659260841701"/>
      </left>
      <right style="dotted">
        <color theme="1" tint="0.24994659260841701"/>
      </right>
      <top style="dotted">
        <color theme="1" tint="0.24994659260841701"/>
      </top>
      <bottom style="thin">
        <color indexed="64"/>
      </bottom>
      <diagonal/>
    </border>
    <border>
      <left style="dotted">
        <color theme="1" tint="0.24994659260841701"/>
      </left>
      <right style="thin">
        <color indexed="64"/>
      </right>
      <top style="dotted">
        <color theme="1" tint="0.24994659260841701"/>
      </top>
      <bottom style="thin">
        <color indexed="64"/>
      </bottom>
      <diagonal/>
    </border>
    <border>
      <left style="thin">
        <color indexed="64"/>
      </left>
      <right style="dotted">
        <color theme="1" tint="0.24994659260841701"/>
      </right>
      <top style="dotted">
        <color theme="1" tint="0.24994659260841701"/>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diagonal/>
    </border>
    <border>
      <left style="thin">
        <color indexed="64"/>
      </left>
      <right/>
      <top style="medium">
        <color indexed="64"/>
      </top>
      <bottom/>
      <diagonal/>
    </border>
  </borders>
  <cellStyleXfs count="331">
    <xf numFmtId="0" fontId="0" fillId="0" borderId="0"/>
    <xf numFmtId="0" fontId="8" fillId="0" borderId="0"/>
    <xf numFmtId="0" fontId="9" fillId="0" borderId="0"/>
    <xf numFmtId="0" fontId="9" fillId="0" borderId="0"/>
    <xf numFmtId="0" fontId="9" fillId="0" borderId="0"/>
    <xf numFmtId="43" fontId="9" fillId="0" borderId="0" applyFont="0" applyFill="0" applyBorder="0" applyAlignment="0" applyProtection="0"/>
    <xf numFmtId="43" fontId="72"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8" fontId="8" fillId="0" borderId="0"/>
    <xf numFmtId="44" fontId="7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8" fillId="0" borderId="1" applyNumberFormat="0" applyAlignment="0" applyProtection="0">
      <alignment horizontal="left" vertical="center"/>
    </xf>
    <xf numFmtId="0" fontId="16" fillId="0" borderId="1" applyNumberFormat="0" applyAlignment="0" applyProtection="0">
      <alignment horizontal="left" vertical="center"/>
    </xf>
    <xf numFmtId="0" fontId="16" fillId="0" borderId="1" applyNumberFormat="0" applyAlignment="0" applyProtection="0">
      <alignment horizontal="left" vertical="center"/>
    </xf>
    <xf numFmtId="0" fontId="18" fillId="0" borderId="2">
      <alignment horizontal="left" vertical="center"/>
    </xf>
    <xf numFmtId="0" fontId="16" fillId="0" borderId="2">
      <alignment horizontal="left" vertical="center"/>
    </xf>
    <xf numFmtId="0" fontId="16" fillId="0" borderId="2">
      <alignment horizontal="left" vertical="center"/>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7" fontId="19" fillId="0" borderId="0"/>
    <xf numFmtId="37" fontId="19" fillId="0" borderId="0"/>
    <xf numFmtId="172" fontId="8" fillId="0" borderId="0"/>
    <xf numFmtId="172" fontId="9" fillId="0" borderId="0"/>
    <xf numFmtId="172" fontId="9" fillId="0" borderId="0"/>
    <xf numFmtId="172" fontId="9"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9"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9" fillId="0" borderId="0"/>
    <xf numFmtId="0" fontId="76" fillId="0" borderId="0"/>
    <xf numFmtId="9" fontId="9" fillId="0" borderId="0" applyFont="0" applyFill="0" applyBorder="0" applyAlignment="0" applyProtection="0"/>
    <xf numFmtId="0" fontId="8" fillId="2" borderId="3" applyNumberFormat="0" applyFill="0" applyBorder="0" applyAlignment="0">
      <alignment horizontal="center"/>
    </xf>
    <xf numFmtId="0" fontId="9" fillId="2" borderId="3" applyNumberFormat="0" applyFill="0" applyBorder="0" applyAlignment="0">
      <alignment horizontal="center"/>
    </xf>
    <xf numFmtId="0" fontId="9" fillId="2" borderId="3" applyNumberFormat="0" applyFill="0" applyBorder="0" applyAlignment="0">
      <alignment horizontal="center"/>
    </xf>
    <xf numFmtId="0" fontId="9" fillId="2" borderId="3" applyNumberFormat="0" applyFill="0" applyBorder="0" applyAlignment="0">
      <alignment horizontal="center"/>
    </xf>
    <xf numFmtId="0" fontId="8" fillId="0" borderId="0" applyNumberFormat="0" applyAlignment="0">
      <alignment horizontal="center"/>
    </xf>
    <xf numFmtId="0" fontId="9" fillId="0" borderId="0" applyNumberFormat="0" applyAlignment="0">
      <alignment horizontal="center"/>
    </xf>
    <xf numFmtId="0" fontId="9" fillId="0" borderId="0" applyNumberFormat="0" applyAlignment="0">
      <alignment horizontal="center"/>
    </xf>
    <xf numFmtId="0" fontId="9" fillId="0" borderId="0" applyNumberFormat="0" applyAlignment="0">
      <alignment horizontal="center"/>
    </xf>
    <xf numFmtId="0" fontId="70" fillId="0" borderId="0" applyNumberFormat="0" applyFont="0" applyFill="0" applyBorder="0" applyAlignment="0" applyProtection="0">
      <alignment horizontal="left"/>
    </xf>
    <xf numFmtId="0" fontId="70" fillId="0" borderId="0" applyNumberFormat="0" applyFont="0" applyFill="0" applyBorder="0" applyAlignment="0" applyProtection="0">
      <alignment horizontal="left"/>
    </xf>
    <xf numFmtId="0" fontId="8" fillId="0" borderId="0"/>
    <xf numFmtId="0" fontId="9" fillId="0" borderId="0"/>
    <xf numFmtId="0" fontId="9" fillId="0" borderId="0"/>
    <xf numFmtId="0" fontId="9" fillId="0" borderId="0"/>
    <xf numFmtId="0" fontId="79" fillId="0" borderId="0" applyNumberFormat="0" applyFill="0" applyBorder="0" applyAlignment="0" applyProtection="0"/>
    <xf numFmtId="0" fontId="80" fillId="0" borderId="42" applyNumberFormat="0" applyFill="0" applyAlignment="0" applyProtection="0"/>
    <xf numFmtId="0" fontId="81" fillId="0" borderId="43" applyNumberFormat="0" applyFill="0" applyAlignment="0" applyProtection="0"/>
    <xf numFmtId="0" fontId="82" fillId="0" borderId="44" applyNumberFormat="0" applyFill="0" applyAlignment="0" applyProtection="0"/>
    <xf numFmtId="0" fontId="82" fillId="0" borderId="0" applyNumberFormat="0" applyFill="0" applyBorder="0" applyAlignment="0" applyProtection="0"/>
    <xf numFmtId="0" fontId="83" fillId="12" borderId="0" applyNumberFormat="0" applyBorder="0" applyAlignment="0" applyProtection="0"/>
    <xf numFmtId="0" fontId="84" fillId="13" borderId="0" applyNumberFormat="0" applyBorder="0" applyAlignment="0" applyProtection="0"/>
    <xf numFmtId="0" fontId="85" fillId="14" borderId="0" applyNumberFormat="0" applyBorder="0" applyAlignment="0" applyProtection="0"/>
    <xf numFmtId="0" fontId="86" fillId="15" borderId="45" applyNumberFormat="0" applyAlignment="0" applyProtection="0"/>
    <xf numFmtId="0" fontId="87" fillId="16" borderId="46" applyNumberFormat="0" applyAlignment="0" applyProtection="0"/>
    <xf numFmtId="0" fontId="88" fillId="16" borderId="45" applyNumberFormat="0" applyAlignment="0" applyProtection="0"/>
    <xf numFmtId="0" fontId="89" fillId="0" borderId="47" applyNumberFormat="0" applyFill="0" applyAlignment="0" applyProtection="0"/>
    <xf numFmtId="0" fontId="90" fillId="17" borderId="48" applyNumberFormat="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50" applyNumberFormat="0" applyFill="0" applyAlignment="0" applyProtection="0"/>
    <xf numFmtId="0" fontId="94"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94" fillId="22" borderId="0" applyNumberFormat="0" applyBorder="0" applyAlignment="0" applyProtection="0"/>
    <xf numFmtId="0" fontId="94"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94" fillId="26" borderId="0" applyNumberFormat="0" applyBorder="0" applyAlignment="0" applyProtection="0"/>
    <xf numFmtId="0" fontId="94"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94" fillId="30" borderId="0" applyNumberFormat="0" applyBorder="0" applyAlignment="0" applyProtection="0"/>
    <xf numFmtId="0" fontId="94"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94" fillId="34" borderId="0" applyNumberFormat="0" applyBorder="0" applyAlignment="0" applyProtection="0"/>
    <xf numFmtId="0" fontId="94"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94" fillId="38" borderId="0" applyNumberFormat="0" applyBorder="0" applyAlignment="0" applyProtection="0"/>
    <xf numFmtId="0" fontId="94"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94" fillId="42" borderId="0" applyNumberFormat="0" applyBorder="0" applyAlignment="0" applyProtection="0"/>
    <xf numFmtId="0" fontId="7" fillId="0" borderId="0"/>
    <xf numFmtId="0" fontId="95" fillId="0" borderId="0" applyNumberFormat="0" applyFill="0" applyBorder="0" applyAlignment="0" applyProtection="0"/>
    <xf numFmtId="0" fontId="7" fillId="18" borderId="49" applyNumberFormat="0" applyFont="0" applyAlignment="0" applyProtection="0"/>
    <xf numFmtId="0" fontId="7" fillId="0" borderId="0"/>
    <xf numFmtId="43" fontId="31" fillId="0" borderId="0" applyFont="0" applyFill="0" applyBorder="0" applyAlignment="0" applyProtection="0">
      <alignment vertical="top"/>
    </xf>
    <xf numFmtId="0" fontId="31" fillId="0" borderId="0">
      <alignment vertical="top"/>
    </xf>
    <xf numFmtId="9" fontId="31" fillId="0" borderId="0" applyFont="0" applyFill="0" applyBorder="0" applyAlignment="0" applyProtection="0">
      <alignment vertical="top"/>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15" fillId="0" borderId="0" applyFont="0" applyFill="0" applyBorder="0" applyAlignment="0" applyProtection="0"/>
    <xf numFmtId="44" fontId="71" fillId="0" borderId="0" applyFont="0" applyFill="0" applyBorder="0" applyAlignment="0" applyProtection="0"/>
    <xf numFmtId="44" fontId="8" fillId="0" borderId="0" applyFont="0" applyFill="0" applyBorder="0" applyAlignment="0" applyProtection="0"/>
    <xf numFmtId="0" fontId="8" fillId="0" borderId="0"/>
    <xf numFmtId="0" fontId="7" fillId="0" borderId="0"/>
    <xf numFmtId="0" fontId="8" fillId="0" borderId="0"/>
    <xf numFmtId="0" fontId="7" fillId="0" borderId="0"/>
    <xf numFmtId="0" fontId="7" fillId="0" borderId="0"/>
    <xf numFmtId="0" fontId="97" fillId="0" borderId="0"/>
    <xf numFmtId="0" fontId="15" fillId="0" borderId="0"/>
    <xf numFmtId="0" fontId="8" fillId="0" borderId="0"/>
    <xf numFmtId="0" fontId="8" fillId="0" borderId="0"/>
    <xf numFmtId="4" fontId="13" fillId="0" borderId="0"/>
    <xf numFmtId="0" fontId="8" fillId="0" borderId="0"/>
    <xf numFmtId="0" fontId="8" fillId="0" borderId="0"/>
    <xf numFmtId="0" fontId="8" fillId="0" borderId="0"/>
    <xf numFmtId="0" fontId="8" fillId="0" borderId="0"/>
    <xf numFmtId="0" fontId="8" fillId="0" borderId="0">
      <alignment vertical="top"/>
    </xf>
    <xf numFmtId="0" fontId="8" fillId="0" borderId="0"/>
    <xf numFmtId="0" fontId="8" fillId="0" borderId="0">
      <alignment vertical="top"/>
    </xf>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alignment vertical="top"/>
    </xf>
    <xf numFmtId="0" fontId="96" fillId="0" borderId="0"/>
    <xf numFmtId="0" fontId="8" fillId="0" borderId="0"/>
    <xf numFmtId="0" fontId="8" fillId="0" borderId="0"/>
    <xf numFmtId="0" fontId="8" fillId="0" borderId="0"/>
    <xf numFmtId="0" fontId="8" fillId="0" borderId="0"/>
    <xf numFmtId="0" fontId="8" fillId="0" borderId="0"/>
    <xf numFmtId="0" fontId="8" fillId="0" borderId="0"/>
    <xf numFmtId="0" fontId="96" fillId="0" borderId="0"/>
    <xf numFmtId="0" fontId="8" fillId="0" borderId="0"/>
    <xf numFmtId="0" fontId="8" fillId="0" borderId="0"/>
    <xf numFmtId="0" fontId="13" fillId="0" borderId="0"/>
    <xf numFmtId="0" fontId="13" fillId="0" borderId="0"/>
    <xf numFmtId="0" fontId="8" fillId="0" borderId="0"/>
    <xf numFmtId="0" fontId="8" fillId="0" borderId="0"/>
    <xf numFmtId="0" fontId="7" fillId="0" borderId="0"/>
    <xf numFmtId="0" fontId="7" fillId="0" borderId="0"/>
    <xf numFmtId="9" fontId="9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8" fillId="0" borderId="0" applyProtection="0">
      <alignment vertical="center"/>
      <protection hidden="1"/>
    </xf>
    <xf numFmtId="0" fontId="98" fillId="0" borderId="0" applyProtection="0">
      <alignment vertical="center"/>
      <protection hidden="1"/>
    </xf>
    <xf numFmtId="0" fontId="98" fillId="0" borderId="0" applyProtection="0">
      <alignment vertical="center"/>
      <protection hidden="1"/>
    </xf>
    <xf numFmtId="0" fontId="98" fillId="0" borderId="0" applyProtection="0">
      <alignment vertical="center"/>
      <protection hidden="1"/>
    </xf>
    <xf numFmtId="0" fontId="99" fillId="0" borderId="0">
      <alignment vertical="center"/>
      <protection locked="0"/>
    </xf>
    <xf numFmtId="0" fontId="99" fillId="0" borderId="0">
      <alignment vertical="center"/>
      <protection locked="0"/>
    </xf>
    <xf numFmtId="0" fontId="99" fillId="0" borderId="0">
      <alignment vertical="center"/>
      <protection locked="0"/>
    </xf>
    <xf numFmtId="0" fontId="99" fillId="0" borderId="0">
      <alignment vertical="center"/>
      <protection locked="0"/>
    </xf>
    <xf numFmtId="0" fontId="98" fillId="0" borderId="0" applyProtection="0">
      <alignment vertical="center"/>
      <protection hidden="1"/>
    </xf>
    <xf numFmtId="44" fontId="7" fillId="0" borderId="0" applyFont="0" applyFill="0" applyBorder="0" applyAlignment="0" applyProtection="0"/>
    <xf numFmtId="9" fontId="7" fillId="0" borderId="0" applyFont="0" applyFill="0" applyBorder="0" applyAlignment="0" applyProtection="0"/>
    <xf numFmtId="0" fontId="8"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43" fontId="7" fillId="0" borderId="0" applyFont="0" applyFill="0" applyBorder="0" applyAlignment="0" applyProtection="0"/>
    <xf numFmtId="0" fontId="8" fillId="0" borderId="0"/>
    <xf numFmtId="9" fontId="8" fillId="0" borderId="0" applyFill="0" applyBorder="0" applyAlignment="0" applyProtection="0"/>
    <xf numFmtId="0" fontId="6" fillId="0" borderId="0"/>
    <xf numFmtId="0" fontId="6" fillId="18" borderId="49" applyNumberFormat="0" applyFont="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44"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2" fillId="0" borderId="0"/>
  </cellStyleXfs>
  <cellXfs count="619">
    <xf numFmtId="0" fontId="0" fillId="0" borderId="0" xfId="0"/>
    <xf numFmtId="3" fontId="15" fillId="0" borderId="0" xfId="0" applyNumberFormat="1" applyFont="1" applyFill="1" applyBorder="1" applyAlignment="1" applyProtection="1">
      <alignment horizontal="center" vertical="top" readingOrder="1"/>
    </xf>
    <xf numFmtId="0" fontId="15" fillId="0" borderId="0" xfId="0" applyNumberFormat="1" applyFont="1" applyFill="1" applyBorder="1" applyAlignment="1" applyProtection="1">
      <alignment horizontal="center" vertical="top" readingOrder="1"/>
    </xf>
    <xf numFmtId="165" fontId="13" fillId="0" borderId="0" xfId="0" applyNumberFormat="1" applyFont="1" applyAlignment="1">
      <alignment horizontal="center"/>
    </xf>
    <xf numFmtId="0" fontId="13" fillId="0" borderId="0" xfId="0" applyFont="1" applyAlignment="1">
      <alignment horizontal="center"/>
    </xf>
    <xf numFmtId="165" fontId="16" fillId="3" borderId="0" xfId="0" applyNumberFormat="1" applyFont="1" applyFill="1" applyAlignment="1">
      <alignment horizontal="center" readingOrder="1"/>
    </xf>
    <xf numFmtId="3" fontId="17" fillId="2" borderId="4" xfId="0" applyNumberFormat="1" applyFont="1" applyFill="1" applyBorder="1" applyAlignment="1" applyProtection="1">
      <alignment horizontal="left" vertical="top" readingOrder="1"/>
    </xf>
    <xf numFmtId="0" fontId="17" fillId="2" borderId="4" xfId="0" applyNumberFormat="1" applyFont="1" applyFill="1" applyBorder="1" applyAlignment="1" applyProtection="1">
      <alignment horizontal="left" vertical="top" readingOrder="1"/>
    </xf>
    <xf numFmtId="164" fontId="17" fillId="2" borderId="4" xfId="0" applyNumberFormat="1" applyFont="1" applyFill="1" applyBorder="1" applyAlignment="1" applyProtection="1">
      <alignment horizontal="left" vertical="top" readingOrder="1"/>
    </xf>
    <xf numFmtId="3" fontId="17" fillId="4" borderId="5" xfId="0" applyNumberFormat="1" applyFont="1" applyFill="1" applyBorder="1" applyAlignment="1" applyProtection="1">
      <alignment horizontal="center" vertical="center" readingOrder="1"/>
    </xf>
    <xf numFmtId="3" fontId="17" fillId="4" borderId="6" xfId="0" applyNumberFormat="1" applyFont="1" applyFill="1" applyBorder="1" applyAlignment="1" applyProtection="1">
      <alignment horizontal="center" vertical="center" readingOrder="1"/>
    </xf>
    <xf numFmtId="3" fontId="17" fillId="4" borderId="7" xfId="0" applyNumberFormat="1" applyFont="1" applyFill="1" applyBorder="1" applyAlignment="1" applyProtection="1">
      <alignment horizontal="center" vertical="center" readingOrder="1"/>
    </xf>
    <xf numFmtId="0" fontId="13" fillId="0" borderId="0" xfId="0" applyFont="1"/>
    <xf numFmtId="3" fontId="17" fillId="2" borderId="8" xfId="0" applyNumberFormat="1" applyFont="1" applyFill="1" applyBorder="1" applyAlignment="1" applyProtection="1">
      <alignment horizontal="center" readingOrder="1"/>
    </xf>
    <xf numFmtId="0" fontId="17" fillId="2" borderId="8" xfId="0" applyNumberFormat="1" applyFont="1" applyFill="1" applyBorder="1" applyAlignment="1" applyProtection="1">
      <alignment horizontal="center" readingOrder="1"/>
    </xf>
    <xf numFmtId="164" fontId="17" fillId="2" borderId="8" xfId="0" applyNumberFormat="1" applyFont="1" applyFill="1" applyBorder="1" applyAlignment="1" applyProtection="1">
      <alignment horizontal="center" readingOrder="1"/>
    </xf>
    <xf numFmtId="0" fontId="17" fillId="2" borderId="8" xfId="0" applyNumberFormat="1" applyFont="1" applyFill="1" applyBorder="1" applyAlignment="1" applyProtection="1">
      <alignment horizontal="right" vertical="top" readingOrder="1"/>
    </xf>
    <xf numFmtId="165" fontId="17" fillId="2" borderId="9" xfId="0" applyNumberFormat="1" applyFont="1" applyFill="1" applyBorder="1" applyAlignment="1" applyProtection="1">
      <alignment horizontal="center" readingOrder="1"/>
    </xf>
    <xf numFmtId="165" fontId="17" fillId="2" borderId="10" xfId="0" applyNumberFormat="1" applyFont="1" applyFill="1" applyBorder="1" applyAlignment="1" applyProtection="1">
      <alignment horizontal="center" readingOrder="1"/>
    </xf>
    <xf numFmtId="165" fontId="17" fillId="2" borderId="11" xfId="0" applyNumberFormat="1" applyFont="1" applyFill="1" applyBorder="1" applyAlignment="1" applyProtection="1">
      <alignment horizontal="center" readingOrder="1"/>
    </xf>
    <xf numFmtId="165" fontId="16" fillId="0" borderId="0" xfId="0" applyNumberFormat="1" applyFont="1" applyAlignment="1">
      <alignment horizontal="center" readingOrder="1"/>
    </xf>
    <xf numFmtId="3" fontId="17" fillId="0" borderId="0" xfId="0" applyNumberFormat="1" applyFont="1" applyFill="1" applyBorder="1" applyAlignment="1" applyProtection="1">
      <alignment horizontal="right" vertical="top" readingOrder="1"/>
    </xf>
    <xf numFmtId="0" fontId="17" fillId="0" borderId="0" xfId="0" applyNumberFormat="1" applyFont="1" applyFill="1" applyBorder="1" applyAlignment="1" applyProtection="1">
      <alignment horizontal="left" vertical="top" readingOrder="1"/>
    </xf>
    <xf numFmtId="164" fontId="17" fillId="0" borderId="0" xfId="0" applyNumberFormat="1" applyFont="1" applyFill="1" applyBorder="1" applyAlignment="1" applyProtection="1">
      <alignment horizontal="left" vertical="top" readingOrder="1"/>
    </xf>
    <xf numFmtId="0" fontId="17" fillId="0" borderId="0" xfId="0" applyNumberFormat="1" applyFont="1" applyFill="1" applyBorder="1" applyAlignment="1" applyProtection="1">
      <alignment horizontal="right" vertical="top" readingOrder="1"/>
    </xf>
    <xf numFmtId="165" fontId="17" fillId="0" borderId="0" xfId="0" applyNumberFormat="1" applyFont="1" applyFill="1" applyBorder="1" applyAlignment="1" applyProtection="1">
      <alignment horizontal="right" vertical="top" readingOrder="1"/>
    </xf>
    <xf numFmtId="3" fontId="13" fillId="5" borderId="4" xfId="0" applyNumberFormat="1" applyFont="1" applyFill="1" applyBorder="1"/>
    <xf numFmtId="0" fontId="13" fillId="5" borderId="4" xfId="0" applyFont="1" applyFill="1" applyBorder="1"/>
    <xf numFmtId="0" fontId="16" fillId="0" borderId="0" xfId="0" applyFont="1"/>
    <xf numFmtId="3" fontId="13" fillId="5" borderId="0" xfId="0" applyNumberFormat="1" applyFont="1" applyFill="1" applyBorder="1"/>
    <xf numFmtId="0" fontId="13" fillId="5" borderId="0" xfId="0" applyFont="1" applyFill="1" applyBorder="1"/>
    <xf numFmtId="3" fontId="13" fillId="5" borderId="8" xfId="0" applyNumberFormat="1" applyFont="1" applyFill="1" applyBorder="1"/>
    <xf numFmtId="0" fontId="13" fillId="5" borderId="8" xfId="0" applyFont="1" applyFill="1" applyBorder="1"/>
    <xf numFmtId="0" fontId="15" fillId="0" borderId="0" xfId="0" applyNumberFormat="1" applyFont="1" applyFill="1" applyBorder="1" applyAlignment="1" applyProtection="1">
      <alignment horizontal="left" vertical="top" wrapText="1" readingOrder="1"/>
    </xf>
    <xf numFmtId="3" fontId="15" fillId="0" borderId="0" xfId="0" applyNumberFormat="1" applyFont="1" applyFill="1" applyBorder="1" applyAlignment="1" applyProtection="1">
      <alignment horizontal="right" vertical="top" readingOrder="1"/>
    </xf>
    <xf numFmtId="0" fontId="15" fillId="0" borderId="0" xfId="0" applyNumberFormat="1" applyFont="1" applyFill="1" applyBorder="1" applyAlignment="1" applyProtection="1">
      <alignment horizontal="left" vertical="top" readingOrder="1"/>
    </xf>
    <xf numFmtId="164" fontId="15" fillId="0" borderId="0" xfId="0" applyNumberFormat="1" applyFont="1" applyFill="1" applyBorder="1" applyAlignment="1" applyProtection="1">
      <alignment horizontal="right" vertical="top" readingOrder="1"/>
    </xf>
    <xf numFmtId="165" fontId="15" fillId="0" borderId="0" xfId="0" applyNumberFormat="1" applyFont="1" applyFill="1" applyBorder="1" applyAlignment="1" applyProtection="1">
      <alignment horizontal="right" vertical="top" readingOrder="1"/>
    </xf>
    <xf numFmtId="165" fontId="13" fillId="0" borderId="15" xfId="0" applyNumberFormat="1" applyFont="1" applyFill="1" applyBorder="1"/>
    <xf numFmtId="165" fontId="13" fillId="0" borderId="14" xfId="0" applyNumberFormat="1" applyFont="1" applyFill="1" applyBorder="1"/>
    <xf numFmtId="165" fontId="13" fillId="0" borderId="14" xfId="0" applyNumberFormat="1" applyFont="1" applyFill="1" applyBorder="1" applyAlignment="1">
      <alignment horizontal="right"/>
    </xf>
    <xf numFmtId="165" fontId="13" fillId="0" borderId="14" xfId="0" applyNumberFormat="1" applyFont="1" applyFill="1" applyBorder="1" applyAlignment="1"/>
    <xf numFmtId="165" fontId="13" fillId="0" borderId="15" xfId="0" applyNumberFormat="1" applyFont="1" applyBorder="1"/>
    <xf numFmtId="165" fontId="13" fillId="0" borderId="14" xfId="0" applyNumberFormat="1" applyFont="1" applyBorder="1"/>
    <xf numFmtId="164" fontId="13" fillId="0" borderId="0" xfId="0" applyNumberFormat="1" applyFont="1"/>
    <xf numFmtId="165" fontId="13" fillId="0" borderId="0" xfId="0" applyNumberFormat="1" applyFont="1"/>
    <xf numFmtId="3" fontId="13" fillId="0" borderId="0" xfId="0" applyNumberFormat="1" applyFont="1"/>
    <xf numFmtId="0" fontId="1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13" fillId="0" borderId="0" xfId="0" applyFont="1" applyAlignment="1">
      <alignment vertical="center"/>
    </xf>
    <xf numFmtId="0" fontId="0" fillId="0" borderId="0" xfId="0" applyAlignment="1">
      <alignment horizontal="center"/>
    </xf>
    <xf numFmtId="0" fontId="31" fillId="0" borderId="0" xfId="0" applyFont="1"/>
    <xf numFmtId="165" fontId="13" fillId="0" borderId="15" xfId="0" applyNumberFormat="1" applyFont="1" applyFill="1" applyBorder="1" applyAlignment="1">
      <alignment horizontal="center"/>
    </xf>
    <xf numFmtId="165" fontId="16" fillId="0" borderId="17" xfId="0" applyNumberFormat="1" applyFont="1" applyBorder="1" applyAlignment="1">
      <alignment horizontal="center" readingOrder="1"/>
    </xf>
    <xf numFmtId="0" fontId="17" fillId="2" borderId="12" xfId="0" applyNumberFormat="1" applyFont="1" applyFill="1" applyBorder="1" applyAlignment="1" applyProtection="1">
      <alignment horizontal="left" vertical="top" readingOrder="1"/>
    </xf>
    <xf numFmtId="0" fontId="13" fillId="2" borderId="10" xfId="0" applyFont="1" applyFill="1" applyBorder="1"/>
    <xf numFmtId="0" fontId="13" fillId="0" borderId="14" xfId="0" applyFont="1" applyBorder="1"/>
    <xf numFmtId="0" fontId="13" fillId="7" borderId="6" xfId="0" applyFont="1" applyFill="1" applyBorder="1"/>
    <xf numFmtId="0" fontId="13" fillId="0" borderId="14" xfId="0" applyFont="1" applyBorder="1" applyAlignment="1">
      <alignment horizontal="center"/>
    </xf>
    <xf numFmtId="0" fontId="13" fillId="6" borderId="6" xfId="0" applyFont="1" applyFill="1" applyBorder="1"/>
    <xf numFmtId="164" fontId="33" fillId="0" borderId="0" xfId="0" applyNumberFormat="1" applyFont="1" applyFill="1" applyBorder="1" applyAlignment="1" applyProtection="1">
      <alignment horizontal="right" vertical="top" readingOrder="1"/>
    </xf>
    <xf numFmtId="165" fontId="33" fillId="0" borderId="0" xfId="0" applyNumberFormat="1" applyFont="1" applyFill="1" applyBorder="1" applyAlignment="1" applyProtection="1">
      <alignment horizontal="right" vertical="top" readingOrder="1"/>
    </xf>
    <xf numFmtId="165" fontId="13" fillId="0" borderId="15" xfId="0" applyNumberFormat="1" applyFont="1" applyFill="1" applyBorder="1" applyAlignment="1">
      <alignment horizontal="right"/>
    </xf>
    <xf numFmtId="165" fontId="13" fillId="0" borderId="14" xfId="0" applyNumberFormat="1" applyFont="1" applyFill="1" applyBorder="1" applyAlignment="1">
      <alignment horizontal="center"/>
    </xf>
    <xf numFmtId="0" fontId="29" fillId="0" borderId="0" xfId="0" applyFont="1" applyAlignment="1">
      <alignment horizontal="center"/>
    </xf>
    <xf numFmtId="167" fontId="30" fillId="0" borderId="0" xfId="0" applyNumberFormat="1" applyFont="1" applyAlignment="1">
      <alignment horizontal="center"/>
    </xf>
    <xf numFmtId="0" fontId="20" fillId="0" borderId="0" xfId="0" applyFont="1" applyAlignment="1">
      <alignment wrapText="1"/>
    </xf>
    <xf numFmtId="0" fontId="34" fillId="0" borderId="0" xfId="0" applyFont="1" applyAlignment="1"/>
    <xf numFmtId="0" fontId="27" fillId="0" borderId="0" xfId="0" applyFont="1" applyAlignment="1"/>
    <xf numFmtId="0" fontId="10" fillId="0" borderId="0" xfId="0" applyFont="1" applyAlignment="1">
      <alignment horizontal="left" vertical="center" indent="1"/>
    </xf>
    <xf numFmtId="0" fontId="24" fillId="0" borderId="0" xfId="0" applyFont="1" applyAlignment="1">
      <alignment vertical="center" wrapText="1"/>
    </xf>
    <xf numFmtId="0" fontId="35" fillId="0" borderId="0" xfId="0" applyFont="1" applyAlignment="1">
      <alignment vertical="center"/>
    </xf>
    <xf numFmtId="0" fontId="37" fillId="0" borderId="0" xfId="0" applyFont="1" applyAlignment="1">
      <alignment horizontal="center"/>
    </xf>
    <xf numFmtId="0" fontId="37" fillId="0" borderId="0" xfId="0" applyFont="1" applyAlignment="1">
      <alignment wrapText="1"/>
    </xf>
    <xf numFmtId="165" fontId="37" fillId="0" borderId="0" xfId="0" applyNumberFormat="1" applyFont="1" applyAlignment="1">
      <alignment horizontal="right"/>
    </xf>
    <xf numFmtId="0" fontId="8" fillId="0" borderId="0" xfId="0" applyFont="1" applyAlignment="1">
      <alignment horizontal="center"/>
    </xf>
    <xf numFmtId="0" fontId="39" fillId="5" borderId="16" xfId="0" applyFont="1" applyFill="1" applyBorder="1" applyAlignment="1">
      <alignment horizontal="right"/>
    </xf>
    <xf numFmtId="167" fontId="39" fillId="5" borderId="6" xfId="0" applyNumberFormat="1" applyFont="1" applyFill="1" applyBorder="1" applyAlignment="1">
      <alignment horizontal="center"/>
    </xf>
    <xf numFmtId="0" fontId="40" fillId="0" borderId="0" xfId="0" applyFont="1" applyAlignment="1">
      <alignment horizontal="center"/>
    </xf>
    <xf numFmtId="0" fontId="41" fillId="0" borderId="0" xfId="0" applyFont="1" applyAlignment="1">
      <alignment horizontal="center" wrapText="1"/>
    </xf>
    <xf numFmtId="165" fontId="40" fillId="0" borderId="0" xfId="0" applyNumberFormat="1" applyFont="1"/>
    <xf numFmtId="165" fontId="42" fillId="0" borderId="0" xfId="0" applyNumberFormat="1" applyFont="1"/>
    <xf numFmtId="0" fontId="37" fillId="0" borderId="0" xfId="0" applyFont="1"/>
    <xf numFmtId="0" fontId="43" fillId="0" borderId="0" xfId="0" applyFont="1"/>
    <xf numFmtId="165" fontId="42" fillId="5" borderId="20" xfId="0" applyNumberFormat="1" applyFont="1" applyFill="1" applyBorder="1" applyAlignment="1">
      <alignment horizontal="center"/>
    </xf>
    <xf numFmtId="165" fontId="44" fillId="3" borderId="20" xfId="0" applyNumberFormat="1" applyFont="1" applyFill="1" applyBorder="1" applyAlignment="1">
      <alignment horizontal="center"/>
    </xf>
    <xf numFmtId="165" fontId="42" fillId="8" borderId="20" xfId="0" applyNumberFormat="1" applyFont="1" applyFill="1" applyBorder="1" applyAlignment="1">
      <alignment horizontal="center"/>
    </xf>
    <xf numFmtId="165" fontId="42" fillId="7" borderId="20" xfId="0" applyNumberFormat="1" applyFont="1" applyFill="1" applyBorder="1" applyAlignment="1">
      <alignment horizontal="center"/>
    </xf>
    <xf numFmtId="0" fontId="45" fillId="0" borderId="0" xfId="0" applyFont="1"/>
    <xf numFmtId="165" fontId="42" fillId="5" borderId="21" xfId="0" applyNumberFormat="1" applyFont="1" applyFill="1" applyBorder="1" applyAlignment="1">
      <alignment horizontal="center" vertical="center"/>
    </xf>
    <xf numFmtId="165" fontId="46" fillId="3" borderId="21" xfId="0" applyNumberFormat="1" applyFont="1" applyFill="1" applyBorder="1" applyAlignment="1">
      <alignment horizontal="center" vertical="center"/>
    </xf>
    <xf numFmtId="165" fontId="42" fillId="8" borderId="21" xfId="0" applyNumberFormat="1" applyFont="1" applyFill="1" applyBorder="1" applyAlignment="1">
      <alignment horizontal="center" vertical="center"/>
    </xf>
    <xf numFmtId="165" fontId="42" fillId="7" borderId="21" xfId="0" applyNumberFormat="1" applyFont="1" applyFill="1" applyBorder="1" applyAlignment="1">
      <alignment horizontal="center" vertical="center"/>
    </xf>
    <xf numFmtId="165" fontId="40" fillId="5" borderId="22" xfId="0" applyNumberFormat="1" applyFont="1" applyFill="1" applyBorder="1" applyAlignment="1">
      <alignment horizontal="center" vertical="center" wrapText="1"/>
    </xf>
    <xf numFmtId="165" fontId="44" fillId="3" borderId="22" xfId="0" applyNumberFormat="1" applyFont="1" applyFill="1" applyBorder="1" applyAlignment="1">
      <alignment horizontal="center" vertical="center" wrapText="1"/>
    </xf>
    <xf numFmtId="165" fontId="42" fillId="8" borderId="22" xfId="0" applyNumberFormat="1" applyFont="1" applyFill="1" applyBorder="1" applyAlignment="1">
      <alignment horizontal="center" vertical="center" wrapText="1"/>
    </xf>
    <xf numFmtId="165" fontId="42" fillId="7" borderId="22" xfId="0" applyNumberFormat="1" applyFont="1" applyFill="1" applyBorder="1" applyAlignment="1">
      <alignment horizontal="center" vertical="center" wrapText="1"/>
    </xf>
    <xf numFmtId="0" fontId="22" fillId="0" borderId="23" xfId="0" applyFont="1" applyBorder="1" applyAlignment="1">
      <alignment horizontal="center"/>
    </xf>
    <xf numFmtId="0" fontId="22" fillId="0" borderId="21" xfId="0" applyFont="1" applyFill="1" applyBorder="1" applyAlignment="1">
      <alignment wrapText="1"/>
    </xf>
    <xf numFmtId="165" fontId="22" fillId="5" borderId="21" xfId="0" applyNumberFormat="1" applyFont="1" applyFill="1" applyBorder="1"/>
    <xf numFmtId="165" fontId="47" fillId="3" borderId="21" xfId="0" applyNumberFormat="1" applyFont="1" applyFill="1" applyBorder="1"/>
    <xf numFmtId="165" fontId="27" fillId="8" borderId="21" xfId="0" applyNumberFormat="1" applyFont="1" applyFill="1" applyBorder="1"/>
    <xf numFmtId="165" fontId="22" fillId="0" borderId="21" xfId="0" applyNumberFormat="1" applyFont="1" applyFill="1" applyBorder="1"/>
    <xf numFmtId="0" fontId="48" fillId="0" borderId="0" xfId="0" applyFont="1" applyAlignment="1">
      <alignment horizontal="center"/>
    </xf>
    <xf numFmtId="0" fontId="49" fillId="0" borderId="0" xfId="0" applyFont="1"/>
    <xf numFmtId="0" fontId="22" fillId="0" borderId="21" xfId="0" applyFont="1" applyBorder="1" applyAlignment="1">
      <alignment horizontal="center" vertical="center"/>
    </xf>
    <xf numFmtId="0" fontId="22" fillId="0" borderId="21" xfId="0" applyFont="1" applyFill="1" applyBorder="1" applyAlignment="1">
      <alignment horizontal="left" vertical="center" wrapText="1"/>
    </xf>
    <xf numFmtId="165" fontId="22" fillId="5" borderId="21" xfId="5" applyNumberFormat="1" applyFont="1" applyFill="1" applyBorder="1" applyAlignment="1">
      <alignment horizontal="right" vertical="center"/>
    </xf>
    <xf numFmtId="165" fontId="47" fillId="3" borderId="21" xfId="5" applyNumberFormat="1" applyFont="1" applyFill="1" applyBorder="1" applyAlignment="1">
      <alignment horizontal="right" vertical="center"/>
    </xf>
    <xf numFmtId="165" fontId="27" fillId="8" borderId="21" xfId="5" applyNumberFormat="1" applyFont="1" applyFill="1" applyBorder="1" applyAlignment="1">
      <alignment horizontal="right" vertical="center"/>
    </xf>
    <xf numFmtId="165" fontId="22" fillId="0" borderId="21" xfId="5" applyNumberFormat="1" applyFont="1" applyFill="1" applyBorder="1" applyAlignment="1">
      <alignment horizontal="right" vertical="center"/>
    </xf>
    <xf numFmtId="3" fontId="37" fillId="0" borderId="0" xfId="0" applyNumberFormat="1" applyFont="1"/>
    <xf numFmtId="165" fontId="22" fillId="0" borderId="24" xfId="5" applyNumberFormat="1" applyFont="1" applyFill="1" applyBorder="1" applyAlignment="1">
      <alignment horizontal="center" vertical="center"/>
    </xf>
    <xf numFmtId="3" fontId="50" fillId="0" borderId="0" xfId="0" applyNumberFormat="1" applyFont="1"/>
    <xf numFmtId="165" fontId="22" fillId="0" borderId="21" xfId="0" applyNumberFormat="1" applyFont="1" applyFill="1" applyBorder="1" applyAlignment="1">
      <alignment horizontal="right" vertical="center"/>
    </xf>
    <xf numFmtId="165" fontId="22" fillId="0" borderId="24" xfId="0" applyNumberFormat="1" applyFont="1" applyFill="1" applyBorder="1" applyAlignment="1">
      <alignment horizontal="center" vertical="center"/>
    </xf>
    <xf numFmtId="0" fontId="26" fillId="0" borderId="21" xfId="0" applyFont="1" applyBorder="1" applyAlignment="1">
      <alignment horizontal="center" vertical="center"/>
    </xf>
    <xf numFmtId="0" fontId="26" fillId="0" borderId="21" xfId="0" applyFont="1" applyFill="1" applyBorder="1" applyAlignment="1">
      <alignment horizontal="left" vertical="center" wrapText="1"/>
    </xf>
    <xf numFmtId="165" fontId="26" fillId="5" borderId="21" xfId="5" applyNumberFormat="1" applyFont="1" applyFill="1" applyBorder="1" applyAlignment="1">
      <alignment vertical="center"/>
    </xf>
    <xf numFmtId="165" fontId="51" fillId="3" borderId="21" xfId="5" applyNumberFormat="1" applyFont="1" applyFill="1" applyBorder="1" applyAlignment="1">
      <alignment vertical="center"/>
    </xf>
    <xf numFmtId="165" fontId="25" fillId="8" borderId="21" xfId="5" applyNumberFormat="1" applyFont="1" applyFill="1" applyBorder="1" applyAlignment="1">
      <alignment vertical="center"/>
    </xf>
    <xf numFmtId="165" fontId="26" fillId="0" borderId="21" xfId="5" applyNumberFormat="1" applyFont="1" applyFill="1" applyBorder="1" applyAlignment="1">
      <alignment vertical="center"/>
    </xf>
    <xf numFmtId="165" fontId="40" fillId="5" borderId="25" xfId="5" applyNumberFormat="1" applyFont="1" applyFill="1" applyBorder="1" applyAlignment="1">
      <alignment vertical="center"/>
    </xf>
    <xf numFmtId="165" fontId="44" fillId="3" borderId="25" xfId="5" applyNumberFormat="1" applyFont="1" applyFill="1" applyBorder="1" applyAlignment="1">
      <alignment vertical="center"/>
    </xf>
    <xf numFmtId="165" fontId="42" fillId="8" borderId="25" xfId="5" applyNumberFormat="1" applyFont="1" applyFill="1" applyBorder="1" applyAlignment="1">
      <alignment vertical="center"/>
    </xf>
    <xf numFmtId="165" fontId="42" fillId="7" borderId="25" xfId="5" applyNumberFormat="1" applyFont="1" applyFill="1" applyBorder="1" applyAlignment="1">
      <alignment vertical="center"/>
    </xf>
    <xf numFmtId="168" fontId="28" fillId="0" borderId="0" xfId="0" applyNumberFormat="1" applyFont="1"/>
    <xf numFmtId="168" fontId="28" fillId="0" borderId="0" xfId="0" applyNumberFormat="1" applyFont="1" applyFill="1"/>
    <xf numFmtId="0" fontId="26" fillId="0" borderId="0" xfId="0" applyFont="1" applyBorder="1" applyAlignment="1">
      <alignment horizontal="center"/>
    </xf>
    <xf numFmtId="0" fontId="26" fillId="0" borderId="0" xfId="0" applyFont="1" applyBorder="1" applyAlignment="1">
      <alignment horizontal="center" wrapText="1"/>
    </xf>
    <xf numFmtId="0" fontId="25" fillId="0" borderId="0" xfId="0" applyFont="1" applyBorder="1" applyAlignment="1">
      <alignment horizontal="center"/>
    </xf>
    <xf numFmtId="0" fontId="28" fillId="0" borderId="0" xfId="0" applyFont="1" applyBorder="1" applyAlignment="1">
      <alignment horizontal="center"/>
    </xf>
    <xf numFmtId="165" fontId="52" fillId="0" borderId="0" xfId="0" applyNumberFormat="1" applyFont="1" applyBorder="1" applyAlignment="1">
      <alignment horizontal="center"/>
    </xf>
    <xf numFmtId="165" fontId="52" fillId="0" borderId="0" xfId="0" applyNumberFormat="1" applyFont="1" applyBorder="1" applyAlignment="1">
      <alignment wrapText="1"/>
    </xf>
    <xf numFmtId="165" fontId="27" fillId="0" borderId="0" xfId="5" applyNumberFormat="1" applyFont="1" applyBorder="1" applyAlignment="1">
      <alignment horizontal="center"/>
    </xf>
    <xf numFmtId="165" fontId="45" fillId="0" borderId="0" xfId="5" applyNumberFormat="1" applyFont="1" applyBorder="1" applyAlignment="1">
      <alignment horizontal="right"/>
    </xf>
    <xf numFmtId="165" fontId="52" fillId="0" borderId="0" xfId="5" applyNumberFormat="1" applyFont="1" applyBorder="1" applyAlignment="1">
      <alignment horizontal="right"/>
    </xf>
    <xf numFmtId="165" fontId="48" fillId="0" borderId="0" xfId="5" applyNumberFormat="1" applyFont="1" applyBorder="1" applyAlignment="1">
      <alignment horizontal="center"/>
    </xf>
    <xf numFmtId="165" fontId="53" fillId="0" borderId="0" xfId="5" applyNumberFormat="1" applyFont="1" applyBorder="1" applyAlignment="1">
      <alignment horizontal="center"/>
    </xf>
    <xf numFmtId="0" fontId="45" fillId="0" borderId="0" xfId="0" applyFont="1" applyBorder="1" applyAlignment="1">
      <alignment horizontal="center"/>
    </xf>
    <xf numFmtId="0" fontId="45" fillId="0" borderId="0" xfId="0" applyFont="1" applyBorder="1" applyAlignment="1">
      <alignment wrapText="1"/>
    </xf>
    <xf numFmtId="165" fontId="45" fillId="0" borderId="0" xfId="0" applyNumberFormat="1" applyFont="1" applyBorder="1" applyAlignment="1">
      <alignment horizontal="center"/>
    </xf>
    <xf numFmtId="165" fontId="10" fillId="0" borderId="0" xfId="0" applyNumberFormat="1" applyFont="1" applyBorder="1" applyAlignment="1">
      <alignment horizontal="center"/>
    </xf>
    <xf numFmtId="0" fontId="0" fillId="0" borderId="0" xfId="0" applyAlignment="1">
      <alignment wrapText="1"/>
    </xf>
    <xf numFmtId="165" fontId="0" fillId="0" borderId="0" xfId="0" applyNumberFormat="1"/>
    <xf numFmtId="165" fontId="8" fillId="0" borderId="0" xfId="0" applyNumberFormat="1" applyFont="1"/>
    <xf numFmtId="165" fontId="38" fillId="0" borderId="0" xfId="0" applyNumberFormat="1" applyFont="1"/>
    <xf numFmtId="0" fontId="13" fillId="0" borderId="4" xfId="0" applyFont="1" applyBorder="1" applyAlignment="1">
      <alignment horizontal="center"/>
    </xf>
    <xf numFmtId="3" fontId="17" fillId="2" borderId="0" xfId="0" applyNumberFormat="1" applyFont="1" applyFill="1" applyBorder="1" applyAlignment="1" applyProtection="1">
      <alignment horizontal="right" vertical="top" readingOrder="1"/>
    </xf>
    <xf numFmtId="0" fontId="17" fillId="2" borderId="0" xfId="0" applyNumberFormat="1" applyFont="1" applyFill="1" applyBorder="1" applyAlignment="1" applyProtection="1">
      <alignment horizontal="left" vertical="top" readingOrder="1"/>
    </xf>
    <xf numFmtId="164" fontId="17" fillId="2" borderId="0" xfId="0" applyNumberFormat="1" applyFont="1" applyFill="1" applyBorder="1" applyAlignment="1" applyProtection="1">
      <alignment horizontal="right" vertical="top" readingOrder="1"/>
    </xf>
    <xf numFmtId="165" fontId="17" fillId="2" borderId="0" xfId="0" applyNumberFormat="1" applyFont="1" applyFill="1" applyBorder="1" applyAlignment="1" applyProtection="1">
      <alignment horizontal="right" vertical="top" readingOrder="1"/>
    </xf>
    <xf numFmtId="0" fontId="16" fillId="2" borderId="14" xfId="0" applyFont="1" applyFill="1" applyBorder="1"/>
    <xf numFmtId="165" fontId="16" fillId="2" borderId="14" xfId="0" applyNumberFormat="1" applyFont="1" applyFill="1" applyBorder="1" applyAlignment="1"/>
    <xf numFmtId="165" fontId="16" fillId="2" borderId="15" xfId="0" applyNumberFormat="1" applyFont="1" applyFill="1" applyBorder="1"/>
    <xf numFmtId="165" fontId="16" fillId="2" borderId="14" xfId="0" applyNumberFormat="1" applyFont="1" applyFill="1" applyBorder="1"/>
    <xf numFmtId="0" fontId="52" fillId="0" borderId="0" xfId="0" applyFont="1"/>
    <xf numFmtId="0" fontId="12" fillId="0" borderId="0" xfId="0" applyFont="1"/>
    <xf numFmtId="0" fontId="0" fillId="0" borderId="0" xfId="0" applyAlignment="1">
      <alignment horizontal="left"/>
    </xf>
    <xf numFmtId="0" fontId="37" fillId="0" borderId="0" xfId="0" applyFont="1" applyAlignment="1">
      <alignment horizontal="left"/>
    </xf>
    <xf numFmtId="0" fontId="10" fillId="0" borderId="0" xfId="0" applyFont="1"/>
    <xf numFmtId="0" fontId="37" fillId="0" borderId="0" xfId="0" applyFont="1" applyAlignment="1">
      <alignment vertical="center"/>
    </xf>
    <xf numFmtId="0" fontId="37" fillId="0" borderId="0" xfId="0" applyFont="1" applyAlignment="1"/>
    <xf numFmtId="0" fontId="56" fillId="0" borderId="0" xfId="0" applyFont="1" applyBorder="1" applyAlignment="1"/>
    <xf numFmtId="171" fontId="57" fillId="0" borderId="0" xfId="0" applyNumberFormat="1" applyFont="1" applyFill="1" applyAlignment="1">
      <alignment horizontal="right"/>
    </xf>
    <xf numFmtId="3" fontId="57" fillId="0" borderId="0" xfId="0" applyNumberFormat="1" applyFont="1" applyFill="1" applyAlignment="1">
      <alignment horizontal="right"/>
    </xf>
    <xf numFmtId="0" fontId="58" fillId="0" borderId="0" xfId="0" applyFont="1" applyBorder="1" applyAlignment="1">
      <alignment vertical="top"/>
    </xf>
    <xf numFmtId="0" fontId="59" fillId="0" borderId="0" xfId="0" applyFont="1"/>
    <xf numFmtId="0" fontId="61" fillId="0" borderId="0" xfId="0" applyFont="1" applyBorder="1" applyAlignment="1">
      <alignment horizontal="right"/>
    </xf>
    <xf numFmtId="3" fontId="61" fillId="0" borderId="0" xfId="0" applyNumberFormat="1" applyFont="1" applyBorder="1"/>
    <xf numFmtId="0" fontId="0" fillId="0" borderId="0" xfId="0" applyAlignment="1">
      <alignment horizontal="left" wrapText="1"/>
    </xf>
    <xf numFmtId="0" fontId="37" fillId="0" borderId="26" xfId="0" applyFont="1" applyFill="1" applyBorder="1" applyAlignment="1">
      <alignment horizontal="left"/>
    </xf>
    <xf numFmtId="0" fontId="37" fillId="0" borderId="0" xfId="0" applyFont="1" applyFill="1" applyBorder="1"/>
    <xf numFmtId="0" fontId="37" fillId="0" borderId="0" xfId="0" applyFont="1" applyFill="1" applyBorder="1" applyAlignment="1">
      <alignment horizontal="center"/>
    </xf>
    <xf numFmtId="0" fontId="52" fillId="5" borderId="2" xfId="0" applyFont="1" applyFill="1" applyBorder="1" applyAlignment="1">
      <alignment vertical="center"/>
    </xf>
    <xf numFmtId="0" fontId="59" fillId="0" borderId="27" xfId="0" applyFont="1" applyFill="1" applyBorder="1" applyAlignment="1">
      <alignment horizontal="center"/>
    </xf>
    <xf numFmtId="0" fontId="37" fillId="0" borderId="26" xfId="0" applyFont="1" applyBorder="1" applyAlignment="1">
      <alignment horizontal="center"/>
    </xf>
    <xf numFmtId="0" fontId="37" fillId="0" borderId="0" xfId="0" applyFont="1" applyBorder="1"/>
    <xf numFmtId="3" fontId="37" fillId="0" borderId="0" xfId="0" applyNumberFormat="1" applyFont="1" applyBorder="1"/>
    <xf numFmtId="3" fontId="37" fillId="0" borderId="0" xfId="0" applyNumberFormat="1" applyFont="1" applyBorder="1" applyAlignment="1">
      <alignment horizontal="center"/>
    </xf>
    <xf numFmtId="4" fontId="37" fillId="0" borderId="0" xfId="0" applyNumberFormat="1" applyFont="1" applyBorder="1"/>
    <xf numFmtId="3" fontId="59" fillId="0" borderId="27" xfId="0" applyNumberFormat="1" applyFont="1" applyBorder="1"/>
    <xf numFmtId="0" fontId="37" fillId="0" borderId="0" xfId="0" applyFont="1" applyBorder="1" applyAlignment="1">
      <alignment horizontal="left"/>
    </xf>
    <xf numFmtId="0" fontId="61" fillId="0" borderId="26" xfId="0" applyFont="1" applyBorder="1" applyAlignment="1">
      <alignment horizontal="center"/>
    </xf>
    <xf numFmtId="0" fontId="61" fillId="0" borderId="0" xfId="0" applyFont="1" applyBorder="1"/>
    <xf numFmtId="3" fontId="61" fillId="0" borderId="0" xfId="0" applyNumberFormat="1" applyFont="1" applyBorder="1" applyAlignment="1">
      <alignment horizontal="center"/>
    </xf>
    <xf numFmtId="4" fontId="61" fillId="0" borderId="0" xfId="0" applyNumberFormat="1" applyFont="1" applyBorder="1"/>
    <xf numFmtId="3" fontId="60" fillId="0" borderId="27" xfId="0" applyNumberFormat="1" applyFont="1" applyFill="1" applyBorder="1"/>
    <xf numFmtId="0" fontId="8" fillId="0" borderId="0" xfId="0" applyFont="1" applyAlignment="1">
      <alignment vertical="center"/>
    </xf>
    <xf numFmtId="165" fontId="62" fillId="0" borderId="0" xfId="0" applyNumberFormat="1" applyFont="1" applyAlignment="1">
      <alignment vertical="center"/>
    </xf>
    <xf numFmtId="0" fontId="62" fillId="0" borderId="0" xfId="0" applyFont="1" applyAlignment="1">
      <alignment vertical="center"/>
    </xf>
    <xf numFmtId="4" fontId="62" fillId="0" borderId="0" xfId="0" applyNumberFormat="1" applyFont="1" applyAlignment="1">
      <alignment horizontal="center" vertical="center"/>
    </xf>
    <xf numFmtId="0" fontId="32"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61" fillId="0" borderId="28" xfId="0" applyFont="1" applyFill="1" applyBorder="1"/>
    <xf numFmtId="0" fontId="61" fillId="0" borderId="29" xfId="0" applyFont="1" applyFill="1" applyBorder="1"/>
    <xf numFmtId="3" fontId="61" fillId="0" borderId="29" xfId="0" applyNumberFormat="1" applyFont="1" applyFill="1" applyBorder="1"/>
    <xf numFmtId="0" fontId="61" fillId="0" borderId="29" xfId="0" applyFont="1" applyFill="1" applyBorder="1" applyAlignment="1">
      <alignment horizontal="center"/>
    </xf>
    <xf numFmtId="4" fontId="60" fillId="0" borderId="30" xfId="0" applyNumberFormat="1" applyFont="1" applyFill="1" applyBorder="1"/>
    <xf numFmtId="0" fontId="45" fillId="5" borderId="31" xfId="0" applyFont="1" applyFill="1" applyBorder="1" applyAlignment="1">
      <alignment vertical="center"/>
    </xf>
    <xf numFmtId="0" fontId="61" fillId="0" borderId="26" xfId="0" applyFont="1" applyFill="1" applyBorder="1"/>
    <xf numFmtId="3" fontId="59" fillId="0" borderId="27" xfId="0" applyNumberFormat="1" applyFont="1" applyFill="1" applyBorder="1"/>
    <xf numFmtId="0" fontId="61" fillId="0" borderId="32" xfId="0" applyFont="1" applyFill="1" applyBorder="1"/>
    <xf numFmtId="0" fontId="61" fillId="0" borderId="33" xfId="0" applyFont="1" applyFill="1" applyBorder="1"/>
    <xf numFmtId="3" fontId="61" fillId="0" borderId="33" xfId="0" applyNumberFormat="1" applyFont="1" applyFill="1" applyBorder="1"/>
    <xf numFmtId="0" fontId="61" fillId="0" borderId="33" xfId="0" applyFont="1" applyFill="1" applyBorder="1" applyAlignment="1">
      <alignment horizontal="center"/>
    </xf>
    <xf numFmtId="4" fontId="60" fillId="0" borderId="34" xfId="0" applyNumberFormat="1" applyFont="1" applyFill="1" applyBorder="1"/>
    <xf numFmtId="3" fontId="45" fillId="5" borderId="2" xfId="0" applyNumberFormat="1" applyFont="1" applyFill="1" applyBorder="1" applyAlignment="1">
      <alignment vertical="center"/>
    </xf>
    <xf numFmtId="3" fontId="45" fillId="5" borderId="2" xfId="0" applyNumberFormat="1" applyFont="1" applyFill="1" applyBorder="1" applyAlignment="1">
      <alignment horizontal="center" vertical="center"/>
    </xf>
    <xf numFmtId="4" fontId="45" fillId="5" borderId="2" xfId="0" applyNumberFormat="1" applyFont="1" applyFill="1" applyBorder="1" applyAlignment="1">
      <alignment vertical="center"/>
    </xf>
    <xf numFmtId="3" fontId="52" fillId="5" borderId="35" xfId="0" applyNumberFormat="1" applyFont="1" applyFill="1" applyBorder="1" applyAlignment="1">
      <alignment vertical="center"/>
    </xf>
    <xf numFmtId="0" fontId="52" fillId="5" borderId="31" xfId="0" applyFont="1" applyFill="1" applyBorder="1" applyAlignment="1">
      <alignment horizontal="center" vertical="center" wrapText="1"/>
    </xf>
    <xf numFmtId="0" fontId="52" fillId="5" borderId="2" xfId="0" applyFont="1" applyFill="1" applyBorder="1" applyAlignment="1">
      <alignment horizontal="center" vertical="center" wrapText="1"/>
    </xf>
    <xf numFmtId="0" fontId="52" fillId="5" borderId="2" xfId="0" applyFont="1" applyFill="1" applyBorder="1" applyAlignment="1">
      <alignment horizontal="center" vertical="center"/>
    </xf>
    <xf numFmtId="0" fontId="52" fillId="5" borderId="35" xfId="0" applyFont="1" applyFill="1" applyBorder="1" applyAlignment="1">
      <alignment horizontal="center" vertical="center"/>
    </xf>
    <xf numFmtId="0" fontId="52" fillId="0" borderId="0" xfId="0" applyFont="1" applyAlignment="1"/>
    <xf numFmtId="0" fontId="54" fillId="9" borderId="0" xfId="0" applyFont="1" applyFill="1" applyBorder="1" applyAlignment="1">
      <alignment horizontal="center"/>
    </xf>
    <xf numFmtId="0" fontId="65" fillId="9" borderId="0" xfId="0" applyFont="1" applyFill="1" applyBorder="1" applyAlignment="1">
      <alignment vertical="top"/>
    </xf>
    <xf numFmtId="171" fontId="64" fillId="9" borderId="0" xfId="0" applyNumberFormat="1" applyFont="1" applyFill="1" applyBorder="1" applyAlignment="1">
      <alignment horizontal="right"/>
    </xf>
    <xf numFmtId="0" fontId="66" fillId="0" borderId="0" xfId="0" applyFont="1" applyAlignment="1">
      <alignment horizontal="right"/>
    </xf>
    <xf numFmtId="0" fontId="66" fillId="0" borderId="0" xfId="0" applyFont="1" applyAlignment="1">
      <alignment horizontal="right" vertical="center"/>
    </xf>
    <xf numFmtId="0" fontId="67" fillId="0" borderId="0" xfId="0" applyFont="1" applyAlignment="1">
      <alignment horizontal="right"/>
    </xf>
    <xf numFmtId="0" fontId="68" fillId="9" borderId="31" xfId="0" applyFont="1" applyFill="1" applyBorder="1" applyAlignment="1">
      <alignment vertical="center"/>
    </xf>
    <xf numFmtId="0" fontId="69" fillId="9" borderId="2" xfId="0" applyFont="1" applyFill="1" applyBorder="1" applyAlignment="1">
      <alignment vertical="center"/>
    </xf>
    <xf numFmtId="3" fontId="68" fillId="9" borderId="2" xfId="0" applyNumberFormat="1" applyFont="1" applyFill="1" applyBorder="1" applyAlignment="1">
      <alignment vertical="center"/>
    </xf>
    <xf numFmtId="3" fontId="68" fillId="9" borderId="2" xfId="0" applyNumberFormat="1" applyFont="1" applyFill="1" applyBorder="1" applyAlignment="1">
      <alignment horizontal="center" vertical="center"/>
    </xf>
    <xf numFmtId="4" fontId="68" fillId="9" borderId="2" xfId="0" applyNumberFormat="1" applyFont="1" applyFill="1" applyBorder="1" applyAlignment="1">
      <alignment vertical="center"/>
    </xf>
    <xf numFmtId="3" fontId="69" fillId="9" borderId="35" xfId="0" applyNumberFormat="1" applyFont="1" applyFill="1" applyBorder="1" applyAlignment="1">
      <alignment vertical="center"/>
    </xf>
    <xf numFmtId="0" fontId="54" fillId="9" borderId="26" xfId="0" applyFont="1" applyFill="1" applyBorder="1" applyAlignment="1">
      <alignment horizontal="center"/>
    </xf>
    <xf numFmtId="0" fontId="54" fillId="9" borderId="27" xfId="0" applyFont="1" applyFill="1" applyBorder="1" applyAlignment="1">
      <alignment horizontal="center"/>
    </xf>
    <xf numFmtId="167" fontId="63" fillId="9" borderId="26" xfId="0" applyNumberFormat="1" applyFont="1" applyFill="1" applyBorder="1" applyAlignment="1">
      <alignment horizontal="left" indent="4"/>
    </xf>
    <xf numFmtId="167" fontId="64" fillId="9" borderId="0" xfId="0" applyNumberFormat="1" applyFont="1" applyFill="1" applyBorder="1" applyAlignment="1">
      <alignment horizontal="left" indent="4"/>
    </xf>
    <xf numFmtId="3" fontId="64" fillId="9" borderId="27" xfId="0" applyNumberFormat="1" applyFont="1" applyFill="1" applyBorder="1" applyAlignment="1">
      <alignment horizontal="right"/>
    </xf>
    <xf numFmtId="167" fontId="63" fillId="9" borderId="32" xfId="0" applyNumberFormat="1" applyFont="1" applyFill="1" applyBorder="1" applyAlignment="1">
      <alignment horizontal="left" indent="4"/>
    </xf>
    <xf numFmtId="167" fontId="64" fillId="9" borderId="33" xfId="0" applyNumberFormat="1" applyFont="1" applyFill="1" applyBorder="1" applyAlignment="1">
      <alignment horizontal="left" indent="4"/>
    </xf>
    <xf numFmtId="0" fontId="65" fillId="9" borderId="33" xfId="0" applyFont="1" applyFill="1" applyBorder="1" applyAlignment="1">
      <alignment vertical="top"/>
    </xf>
    <xf numFmtId="0" fontId="64" fillId="9" borderId="33" xfId="0" applyFont="1" applyFill="1" applyBorder="1" applyAlignment="1">
      <alignment horizontal="right"/>
    </xf>
    <xf numFmtId="3" fontId="64" fillId="9" borderId="34" xfId="0" applyNumberFormat="1" applyFont="1" applyFill="1" applyBorder="1" applyAlignment="1">
      <alignment horizontal="center"/>
    </xf>
    <xf numFmtId="0" fontId="37" fillId="0" borderId="28" xfId="0" applyFont="1" applyBorder="1"/>
    <xf numFmtId="0" fontId="37" fillId="0" borderId="29" xfId="0" applyFont="1" applyBorder="1"/>
    <xf numFmtId="0" fontId="59" fillId="0" borderId="30" xfId="0" applyFont="1" applyBorder="1"/>
    <xf numFmtId="0" fontId="0" fillId="0" borderId="26" xfId="0" applyBorder="1"/>
    <xf numFmtId="0" fontId="0" fillId="0" borderId="0" xfId="0" applyBorder="1"/>
    <xf numFmtId="0" fontId="10" fillId="0" borderId="27" xfId="0" applyFont="1" applyBorder="1"/>
    <xf numFmtId="3" fontId="17" fillId="7" borderId="1" xfId="0" applyNumberFormat="1" applyFont="1" applyFill="1" applyBorder="1" applyAlignment="1" applyProtection="1">
      <alignment horizontal="right" vertical="top" readingOrder="1"/>
    </xf>
    <xf numFmtId="0" fontId="17" fillId="7" borderId="1" xfId="0" applyNumberFormat="1" applyFont="1" applyFill="1" applyBorder="1" applyAlignment="1" applyProtection="1">
      <alignment horizontal="right" vertical="top" readingOrder="1"/>
    </xf>
    <xf numFmtId="164" fontId="17" fillId="7" borderId="1" xfId="0" applyNumberFormat="1" applyFont="1" applyFill="1" applyBorder="1" applyAlignment="1" applyProtection="1">
      <alignment horizontal="right" vertical="top" readingOrder="1"/>
    </xf>
    <xf numFmtId="165" fontId="17" fillId="7" borderId="1" xfId="0" applyNumberFormat="1" applyFont="1" applyFill="1" applyBorder="1" applyAlignment="1" applyProtection="1">
      <alignment horizontal="right" vertical="top" readingOrder="1"/>
    </xf>
    <xf numFmtId="165" fontId="17" fillId="7" borderId="5" xfId="0" applyNumberFormat="1" applyFont="1" applyFill="1" applyBorder="1" applyAlignment="1" applyProtection="1">
      <alignment horizontal="right" vertical="top" readingOrder="1"/>
    </xf>
    <xf numFmtId="3" fontId="17" fillId="6" borderId="1" xfId="0" applyNumberFormat="1" applyFont="1" applyFill="1" applyBorder="1" applyAlignment="1" applyProtection="1">
      <alignment horizontal="right" vertical="top" readingOrder="1"/>
    </xf>
    <xf numFmtId="0" fontId="17" fillId="6" borderId="1" xfId="0" applyNumberFormat="1" applyFont="1" applyFill="1" applyBorder="1" applyAlignment="1" applyProtection="1">
      <alignment horizontal="right" vertical="top" readingOrder="1"/>
    </xf>
    <xf numFmtId="164" fontId="17" fillId="6" borderId="1" xfId="0" applyNumberFormat="1" applyFont="1" applyFill="1" applyBorder="1" applyAlignment="1" applyProtection="1">
      <alignment horizontal="right" vertical="top" readingOrder="1"/>
    </xf>
    <xf numFmtId="0" fontId="17" fillId="6" borderId="1" xfId="0" applyNumberFormat="1" applyFont="1" applyFill="1" applyBorder="1" applyAlignment="1" applyProtection="1">
      <alignment horizontal="left" vertical="top" readingOrder="1"/>
    </xf>
    <xf numFmtId="165" fontId="17" fillId="6" borderId="1" xfId="0" applyNumberFormat="1" applyFont="1" applyFill="1" applyBorder="1" applyAlignment="1" applyProtection="1">
      <alignment horizontal="right" vertical="top" readingOrder="1"/>
    </xf>
    <xf numFmtId="165" fontId="13" fillId="0" borderId="15" xfId="0" applyNumberFormat="1" applyFont="1" applyFill="1" applyBorder="1" applyAlignment="1">
      <alignment horizontal="center" readingOrder="1"/>
    </xf>
    <xf numFmtId="165" fontId="13" fillId="0" borderId="14" xfId="0" applyNumberFormat="1" applyFont="1" applyFill="1" applyBorder="1" applyAlignment="1">
      <alignment horizontal="center" readingOrder="1"/>
    </xf>
    <xf numFmtId="0" fontId="45" fillId="0" borderId="0" xfId="0" applyFont="1" applyAlignment="1">
      <alignment vertical="center"/>
    </xf>
    <xf numFmtId="165" fontId="13" fillId="0" borderId="15" xfId="0" applyNumberFormat="1" applyFont="1" applyFill="1" applyBorder="1" applyAlignment="1">
      <alignment horizontal="right" readingOrder="1"/>
    </xf>
    <xf numFmtId="0" fontId="17" fillId="2" borderId="4" xfId="0" applyNumberFormat="1" applyFont="1" applyFill="1" applyBorder="1" applyAlignment="1" applyProtection="1">
      <alignment horizontal="left" vertical="center" wrapText="1" readingOrder="1"/>
    </xf>
    <xf numFmtId="0" fontId="17" fillId="0" borderId="0" xfId="0" applyNumberFormat="1" applyFont="1" applyFill="1" applyBorder="1" applyAlignment="1" applyProtection="1">
      <alignment horizontal="left" vertical="center" wrapText="1" readingOrder="1"/>
    </xf>
    <xf numFmtId="0" fontId="17" fillId="5" borderId="8" xfId="0" applyNumberFormat="1" applyFont="1" applyFill="1" applyBorder="1" applyAlignment="1" applyProtection="1">
      <alignment horizontal="left" vertical="center" wrapText="1" readingOrder="1"/>
    </xf>
    <xf numFmtId="0" fontId="15" fillId="0" borderId="0" xfId="0" applyNumberFormat="1" applyFont="1" applyFill="1" applyBorder="1" applyAlignment="1" applyProtection="1">
      <alignment horizontal="left" vertical="center" wrapText="1" readingOrder="1"/>
    </xf>
    <xf numFmtId="0" fontId="15" fillId="0" borderId="0" xfId="0" applyNumberFormat="1" applyFont="1" applyFill="1" applyBorder="1" applyAlignment="1" applyProtection="1">
      <alignment horizontal="center" vertical="center" wrapText="1" readingOrder="1"/>
    </xf>
    <xf numFmtId="0" fontId="17" fillId="6" borderId="1" xfId="0" applyNumberFormat="1" applyFont="1" applyFill="1" applyBorder="1" applyAlignment="1" applyProtection="1">
      <alignment horizontal="left" vertical="center" wrapText="1" readingOrder="1"/>
    </xf>
    <xf numFmtId="0" fontId="13" fillId="0" borderId="0" xfId="0" applyFont="1" applyAlignment="1">
      <alignment vertical="center" wrapText="1"/>
    </xf>
    <xf numFmtId="0" fontId="17" fillId="5" borderId="19" xfId="0" applyNumberFormat="1" applyFont="1" applyFill="1" applyBorder="1" applyAlignment="1" applyProtection="1">
      <alignment horizontal="center" vertical="center" readingOrder="1"/>
    </xf>
    <xf numFmtId="0" fontId="17" fillId="5" borderId="4" xfId="0" applyNumberFormat="1" applyFont="1" applyFill="1" applyBorder="1" applyAlignment="1" applyProtection="1">
      <alignment horizontal="left" vertical="center" wrapText="1" readingOrder="1"/>
    </xf>
    <xf numFmtId="0" fontId="17" fillId="0" borderId="17" xfId="0" applyNumberFormat="1" applyFont="1" applyFill="1" applyBorder="1" applyAlignment="1" applyProtection="1">
      <alignment horizontal="center" vertical="center" readingOrder="1"/>
    </xf>
    <xf numFmtId="0" fontId="17" fillId="5" borderId="17" xfId="0" applyNumberFormat="1" applyFont="1" applyFill="1" applyBorder="1" applyAlignment="1" applyProtection="1">
      <alignment horizontal="center" vertical="center" readingOrder="1"/>
    </xf>
    <xf numFmtId="0" fontId="17" fillId="5" borderId="0" xfId="0" applyNumberFormat="1" applyFont="1" applyFill="1" applyBorder="1" applyAlignment="1" applyProtection="1">
      <alignment horizontal="left" vertical="center" wrapText="1" readingOrder="1"/>
    </xf>
    <xf numFmtId="0" fontId="17" fillId="5" borderId="18" xfId="0" applyNumberFormat="1" applyFont="1" applyFill="1" applyBorder="1" applyAlignment="1" applyProtection="1">
      <alignment horizontal="center" vertical="center" readingOrder="1"/>
    </xf>
    <xf numFmtId="0" fontId="14" fillId="0" borderId="17" xfId="0" applyNumberFormat="1" applyFont="1" applyFill="1" applyBorder="1" applyAlignment="1" applyProtection="1">
      <alignment horizontal="center" vertical="center" readingOrder="1"/>
    </xf>
    <xf numFmtId="0" fontId="55" fillId="2" borderId="17" xfId="0" applyNumberFormat="1" applyFont="1" applyFill="1" applyBorder="1" applyAlignment="1" applyProtection="1">
      <alignment horizontal="center" vertical="center" readingOrder="1"/>
    </xf>
    <xf numFmtId="0" fontId="17" fillId="2" borderId="0" xfId="0" applyNumberFormat="1" applyFont="1" applyFill="1" applyBorder="1" applyAlignment="1" applyProtection="1">
      <alignment horizontal="left" vertical="center" wrapText="1" readingOrder="1"/>
    </xf>
    <xf numFmtId="0" fontId="17" fillId="7" borderId="16" xfId="0" applyNumberFormat="1" applyFont="1" applyFill="1" applyBorder="1" applyAlignment="1" applyProtection="1">
      <alignment horizontal="center" vertical="center" readingOrder="1"/>
    </xf>
    <xf numFmtId="0" fontId="17" fillId="7" borderId="1" xfId="0" applyNumberFormat="1" applyFont="1" applyFill="1" applyBorder="1" applyAlignment="1" applyProtection="1">
      <alignment horizontal="left" vertical="center" wrapText="1" readingOrder="1"/>
    </xf>
    <xf numFmtId="0" fontId="14" fillId="0" borderId="17" xfId="0" applyNumberFormat="1" applyFont="1" applyFill="1" applyBorder="1" applyAlignment="1" applyProtection="1">
      <alignment horizontal="left" vertical="center" readingOrder="1"/>
    </xf>
    <xf numFmtId="0" fontId="17" fillId="6" borderId="16" xfId="0" applyNumberFormat="1" applyFont="1" applyFill="1" applyBorder="1" applyAlignment="1" applyProtection="1">
      <alignment horizontal="center" vertical="center" readingOrder="1"/>
    </xf>
    <xf numFmtId="0" fontId="13" fillId="0" borderId="0" xfId="0" applyFont="1" applyAlignment="1">
      <alignment horizontal="center" vertical="center"/>
    </xf>
    <xf numFmtId="0" fontId="33" fillId="0" borderId="0" xfId="0" applyNumberFormat="1" applyFont="1" applyFill="1" applyBorder="1" applyAlignment="1" applyProtection="1">
      <alignment horizontal="left" vertical="center" wrapText="1" readingOrder="1"/>
    </xf>
    <xf numFmtId="0" fontId="14" fillId="0" borderId="36" xfId="0" applyNumberFormat="1" applyFont="1" applyFill="1" applyBorder="1" applyAlignment="1" applyProtection="1">
      <alignment horizontal="center" vertical="center" readingOrder="1"/>
    </xf>
    <xf numFmtId="0" fontId="15" fillId="0" borderId="33" xfId="0" applyNumberFormat="1" applyFont="1" applyFill="1" applyBorder="1" applyAlignment="1" applyProtection="1">
      <alignment horizontal="left" vertical="center" wrapText="1" readingOrder="1"/>
    </xf>
    <xf numFmtId="3" fontId="15" fillId="0" borderId="33" xfId="0" applyNumberFormat="1" applyFont="1" applyFill="1" applyBorder="1" applyAlignment="1" applyProtection="1">
      <alignment horizontal="right" vertical="top" readingOrder="1"/>
    </xf>
    <xf numFmtId="0" fontId="15" fillId="0" borderId="33" xfId="0" applyNumberFormat="1" applyFont="1" applyFill="1" applyBorder="1" applyAlignment="1" applyProtection="1">
      <alignment horizontal="left" vertical="top" wrapText="1" readingOrder="1"/>
    </xf>
    <xf numFmtId="164" fontId="15" fillId="0" borderId="33" xfId="0" applyNumberFormat="1" applyFont="1" applyFill="1" applyBorder="1" applyAlignment="1" applyProtection="1">
      <alignment horizontal="right" vertical="top" readingOrder="1"/>
    </xf>
    <xf numFmtId="0" fontId="15" fillId="0" borderId="33" xfId="0" applyNumberFormat="1" applyFont="1" applyFill="1" applyBorder="1" applyAlignment="1" applyProtection="1">
      <alignment horizontal="left" vertical="top" readingOrder="1"/>
    </xf>
    <xf numFmtId="165" fontId="15" fillId="0" borderId="33" xfId="0" applyNumberFormat="1" applyFont="1" applyFill="1" applyBorder="1" applyAlignment="1" applyProtection="1">
      <alignment horizontal="right" vertical="top" readingOrder="1"/>
    </xf>
    <xf numFmtId="0" fontId="13" fillId="0" borderId="37" xfId="0" applyFont="1" applyBorder="1"/>
    <xf numFmtId="165" fontId="13" fillId="0" borderId="37" xfId="0" applyNumberFormat="1" applyFont="1" applyFill="1" applyBorder="1" applyAlignment="1"/>
    <xf numFmtId="165" fontId="13" fillId="0" borderId="38" xfId="0" applyNumberFormat="1" applyFont="1" applyFill="1" applyBorder="1"/>
    <xf numFmtId="165" fontId="13" fillId="0" borderId="37" xfId="0" applyNumberFormat="1" applyFont="1" applyFill="1" applyBorder="1"/>
    <xf numFmtId="165" fontId="10" fillId="3" borderId="16" xfId="25" applyNumberFormat="1" applyFont="1" applyFill="1" applyBorder="1" applyAlignment="1" applyProtection="1">
      <alignment horizontal="center" readingOrder="1"/>
    </xf>
    <xf numFmtId="0" fontId="73" fillId="0" borderId="0" xfId="0" applyFont="1"/>
    <xf numFmtId="0" fontId="37" fillId="0" borderId="3" xfId="0" applyFont="1" applyBorder="1"/>
    <xf numFmtId="0" fontId="37" fillId="0" borderId="3" xfId="0" applyFont="1" applyBorder="1" applyAlignment="1">
      <alignment horizontal="center"/>
    </xf>
    <xf numFmtId="3" fontId="16" fillId="3" borderId="0" xfId="0" applyNumberFormat="1" applyFont="1" applyFill="1" applyAlignment="1">
      <alignment horizontal="center" readingOrder="1"/>
    </xf>
    <xf numFmtId="3" fontId="10" fillId="3" borderId="16" xfId="25" applyNumberFormat="1" applyFont="1" applyFill="1" applyBorder="1" applyAlignment="1" applyProtection="1">
      <alignment horizontal="center" readingOrder="1"/>
    </xf>
    <xf numFmtId="3" fontId="16" fillId="0" borderId="17" xfId="0" applyNumberFormat="1" applyFont="1" applyBorder="1" applyAlignment="1">
      <alignment horizontal="center" readingOrder="1"/>
    </xf>
    <xf numFmtId="3" fontId="16" fillId="0" borderId="0" xfId="0" applyNumberFormat="1" applyFont="1" applyAlignment="1">
      <alignment horizontal="center" readingOrder="1"/>
    </xf>
    <xf numFmtId="170" fontId="16" fillId="3" borderId="0" xfId="0" applyNumberFormat="1" applyFont="1" applyFill="1" applyAlignment="1">
      <alignment horizontal="center" readingOrder="1"/>
    </xf>
    <xf numFmtId="170" fontId="10" fillId="3" borderId="16" xfId="25" applyNumberFormat="1" applyFont="1" applyFill="1" applyBorder="1" applyAlignment="1" applyProtection="1">
      <alignment horizontal="center" readingOrder="1"/>
    </xf>
    <xf numFmtId="170" fontId="16" fillId="0" borderId="17" xfId="0" applyNumberFormat="1" applyFont="1" applyBorder="1" applyAlignment="1">
      <alignment horizontal="center" readingOrder="1"/>
    </xf>
    <xf numFmtId="170" fontId="16" fillId="0" borderId="0" xfId="0" applyNumberFormat="1" applyFont="1" applyAlignment="1">
      <alignment horizontal="center" readingOrder="1"/>
    </xf>
    <xf numFmtId="0" fontId="55" fillId="0" borderId="17" xfId="0" applyNumberFormat="1" applyFont="1" applyFill="1" applyBorder="1" applyAlignment="1" applyProtection="1">
      <alignment horizontal="center" vertical="center" readingOrder="1"/>
    </xf>
    <xf numFmtId="0" fontId="74" fillId="10" borderId="40" xfId="0" applyFont="1" applyFill="1" applyBorder="1" applyAlignment="1">
      <alignment horizontal="center"/>
    </xf>
    <xf numFmtId="0" fontId="74" fillId="10" borderId="41" xfId="0" applyFont="1" applyFill="1" applyBorder="1" applyAlignment="1">
      <alignment horizontal="center"/>
    </xf>
    <xf numFmtId="0" fontId="74" fillId="10" borderId="7" xfId="0" applyFont="1" applyFill="1" applyBorder="1" applyAlignment="1">
      <alignment horizontal="center"/>
    </xf>
    <xf numFmtId="165" fontId="37" fillId="0" borderId="3" xfId="0" applyNumberFormat="1" applyFont="1" applyBorder="1"/>
    <xf numFmtId="0" fontId="17" fillId="7" borderId="1" xfId="0" applyNumberFormat="1" applyFont="1" applyFill="1" applyBorder="1" applyAlignment="1" applyProtection="1">
      <alignment horizontal="left" vertical="top" readingOrder="1"/>
    </xf>
    <xf numFmtId="165" fontId="77" fillId="0" borderId="0" xfId="0" applyNumberFormat="1" applyFont="1" applyFill="1" applyBorder="1" applyAlignment="1" applyProtection="1">
      <alignment horizontal="center" vertical="top" readingOrder="1"/>
    </xf>
    <xf numFmtId="0" fontId="77" fillId="0" borderId="14" xfId="0" applyFont="1" applyBorder="1"/>
    <xf numFmtId="0" fontId="17" fillId="0" borderId="0" xfId="0" applyNumberFormat="1" applyFont="1" applyFill="1" applyBorder="1" applyAlignment="1" applyProtection="1">
      <alignment horizontal="center" vertical="center" readingOrder="1"/>
    </xf>
    <xf numFmtId="164" fontId="17" fillId="0" borderId="0" xfId="0" applyNumberFormat="1" applyFont="1" applyFill="1" applyBorder="1" applyAlignment="1" applyProtection="1">
      <alignment horizontal="right" vertical="top" readingOrder="1"/>
    </xf>
    <xf numFmtId="0" fontId="13" fillId="0" borderId="0" xfId="0" applyFont="1" applyFill="1" applyBorder="1"/>
    <xf numFmtId="0" fontId="13" fillId="0" borderId="0" xfId="0" applyFont="1" applyFill="1"/>
    <xf numFmtId="0" fontId="78" fillId="0" borderId="3" xfId="0" applyFont="1" applyFill="1" applyBorder="1" applyAlignment="1">
      <alignment horizontal="center"/>
    </xf>
    <xf numFmtId="8" fontId="15" fillId="0" borderId="0" xfId="0" applyNumberFormat="1" applyFont="1" applyFill="1" applyBorder="1" applyAlignment="1" applyProtection="1">
      <alignment horizontal="left" vertical="top" readingOrder="1"/>
    </xf>
    <xf numFmtId="165" fontId="16" fillId="2" borderId="14" xfId="0" applyNumberFormat="1" applyFont="1" applyFill="1" applyBorder="1" applyAlignment="1">
      <alignment horizontal="right"/>
    </xf>
    <xf numFmtId="165" fontId="16" fillId="2" borderId="15" xfId="0" applyNumberFormat="1" applyFont="1" applyFill="1" applyBorder="1" applyAlignment="1">
      <alignment horizontal="right"/>
    </xf>
    <xf numFmtId="0" fontId="55" fillId="0" borderId="17" xfId="0" applyNumberFormat="1" applyFont="1" applyFill="1" applyBorder="1" applyAlignment="1" applyProtection="1">
      <alignment horizontal="left" vertical="center" readingOrder="1"/>
    </xf>
    <xf numFmtId="0" fontId="101" fillId="0" borderId="0" xfId="284" applyFont="1"/>
    <xf numFmtId="0" fontId="5" fillId="0" borderId="0" xfId="284"/>
    <xf numFmtId="0" fontId="101" fillId="0" borderId="0" xfId="284" applyFont="1" applyAlignment="1">
      <alignment horizontal="right"/>
    </xf>
    <xf numFmtId="0" fontId="102" fillId="0" borderId="0" xfId="284" applyFont="1" applyAlignment="1">
      <alignment horizontal="right"/>
    </xf>
    <xf numFmtId="44" fontId="0" fillId="0" borderId="0" xfId="285" applyFont="1" applyAlignment="1">
      <alignment horizontal="right"/>
    </xf>
    <xf numFmtId="44" fontId="5" fillId="0" borderId="0" xfId="284" applyNumberFormat="1"/>
    <xf numFmtId="44" fontId="104" fillId="0" borderId="0" xfId="284" applyNumberFormat="1" applyFont="1"/>
    <xf numFmtId="0" fontId="93" fillId="0" borderId="0" xfId="284" applyFont="1"/>
    <xf numFmtId="44" fontId="93" fillId="0" borderId="0" xfId="284" applyNumberFormat="1" applyFont="1"/>
    <xf numFmtId="44" fontId="0" fillId="0" borderId="0" xfId="285" applyFont="1"/>
    <xf numFmtId="0" fontId="3" fillId="0" borderId="0" xfId="327" applyFont="1" applyFill="1" applyAlignment="1">
      <alignment vertical="top" wrapText="1"/>
    </xf>
    <xf numFmtId="0" fontId="105" fillId="0" borderId="0" xfId="327" applyFont="1" applyFill="1" applyBorder="1" applyAlignment="1">
      <alignment vertical="top"/>
    </xf>
    <xf numFmtId="0" fontId="106" fillId="0" borderId="0" xfId="327" applyFont="1" applyFill="1" applyBorder="1" applyAlignment="1">
      <alignment vertical="top"/>
    </xf>
    <xf numFmtId="168" fontId="106" fillId="0" borderId="0" xfId="328" applyNumberFormat="1" applyFont="1" applyFill="1" applyBorder="1" applyAlignment="1">
      <alignment vertical="top"/>
    </xf>
    <xf numFmtId="0" fontId="106" fillId="0" borderId="0" xfId="327" applyFont="1" applyFill="1" applyBorder="1" applyAlignment="1">
      <alignment horizontal="center" vertical="top"/>
    </xf>
    <xf numFmtId="0" fontId="3" fillId="0" borderId="0" xfId="327" applyFont="1" applyFill="1" applyAlignment="1">
      <alignment vertical="top"/>
    </xf>
    <xf numFmtId="14" fontId="106" fillId="0" borderId="0" xfId="327" applyNumberFormat="1" applyFont="1" applyFill="1" applyBorder="1" applyAlignment="1">
      <alignment vertical="top"/>
    </xf>
    <xf numFmtId="0" fontId="103" fillId="0" borderId="0" xfId="327" applyFont="1" applyFill="1" applyBorder="1" applyAlignment="1">
      <alignment vertical="top"/>
    </xf>
    <xf numFmtId="168" fontId="103" fillId="0" borderId="0" xfId="328" applyNumberFormat="1" applyFont="1" applyFill="1" applyBorder="1" applyAlignment="1">
      <alignment vertical="top"/>
    </xf>
    <xf numFmtId="0" fontId="103" fillId="0" borderId="0" xfId="327" applyFont="1" applyFill="1" applyBorder="1" applyAlignment="1">
      <alignment horizontal="center" vertical="top"/>
    </xf>
    <xf numFmtId="0" fontId="90" fillId="44" borderId="28" xfId="327" applyFont="1" applyFill="1" applyBorder="1" applyAlignment="1">
      <alignment vertical="top" wrapText="1"/>
    </xf>
    <xf numFmtId="0" fontId="90" fillId="44" borderId="29" xfId="327" applyFont="1" applyFill="1" applyBorder="1" applyAlignment="1">
      <alignment vertical="top" wrapText="1"/>
    </xf>
    <xf numFmtId="168" fontId="90" fillId="44" borderId="29" xfId="328" applyNumberFormat="1" applyFont="1" applyFill="1" applyBorder="1" applyAlignment="1">
      <alignment vertical="top" wrapText="1"/>
    </xf>
    <xf numFmtId="0" fontId="90" fillId="44" borderId="29" xfId="327" applyFont="1" applyFill="1" applyBorder="1" applyAlignment="1">
      <alignment horizontal="center" vertical="top" wrapText="1"/>
    </xf>
    <xf numFmtId="0" fontId="90" fillId="44" borderId="39" xfId="327" applyFont="1" applyFill="1" applyBorder="1" applyAlignment="1">
      <alignment vertical="top" wrapText="1"/>
    </xf>
    <xf numFmtId="0" fontId="90" fillId="44" borderId="51" xfId="327" applyFont="1" applyFill="1" applyBorder="1" applyAlignment="1">
      <alignment vertical="top" wrapText="1"/>
    </xf>
    <xf numFmtId="0" fontId="90" fillId="44" borderId="8" xfId="327" applyFont="1" applyFill="1" applyBorder="1" applyAlignment="1">
      <alignment vertical="top" wrapText="1"/>
    </xf>
    <xf numFmtId="0" fontId="93" fillId="0" borderId="52" xfId="327" applyFont="1" applyFill="1" applyBorder="1" applyAlignment="1">
      <alignment vertical="top"/>
    </xf>
    <xf numFmtId="0" fontId="93" fillId="0" borderId="53" xfId="327" applyFont="1" applyFill="1" applyBorder="1" applyAlignment="1">
      <alignment vertical="top" wrapText="1"/>
    </xf>
    <xf numFmtId="0" fontId="3" fillId="0" borderId="53" xfId="327" applyFill="1" applyBorder="1" applyAlignment="1">
      <alignment vertical="top"/>
    </xf>
    <xf numFmtId="168" fontId="0" fillId="0" borderId="53" xfId="328" applyNumberFormat="1" applyFont="1" applyFill="1" applyBorder="1" applyAlignment="1">
      <alignment vertical="top"/>
    </xf>
    <xf numFmtId="44" fontId="0" fillId="0" borderId="53" xfId="329" applyFont="1" applyFill="1" applyBorder="1" applyAlignment="1">
      <alignment vertical="top"/>
    </xf>
    <xf numFmtId="16" fontId="103" fillId="0" borderId="53" xfId="327" applyNumberFormat="1" applyFont="1" applyFill="1" applyBorder="1" applyAlignment="1">
      <alignment horizontal="center" vertical="top" wrapText="1"/>
    </xf>
    <xf numFmtId="44" fontId="103" fillId="0" borderId="53" xfId="329" applyFont="1" applyFill="1" applyBorder="1" applyAlignment="1">
      <alignment horizontal="center" vertical="top" wrapText="1"/>
    </xf>
    <xf numFmtId="0" fontId="103" fillId="0" borderId="53" xfId="327" applyFont="1" applyFill="1" applyBorder="1" applyAlignment="1">
      <alignment horizontal="center" vertical="top" wrapText="1"/>
    </xf>
    <xf numFmtId="0" fontId="3" fillId="0" borderId="55" xfId="327" applyFill="1" applyBorder="1" applyAlignment="1">
      <alignment vertical="top" wrapText="1"/>
    </xf>
    <xf numFmtId="0" fontId="3" fillId="0" borderId="55" xfId="327" applyFill="1" applyBorder="1" applyAlignment="1">
      <alignment horizontal="left" vertical="top" wrapText="1"/>
    </xf>
    <xf numFmtId="168" fontId="0" fillId="0" borderId="55" xfId="328" applyNumberFormat="1" applyFont="1" applyFill="1" applyBorder="1" applyAlignment="1">
      <alignment vertical="top"/>
    </xf>
    <xf numFmtId="0" fontId="3" fillId="0" borderId="55" xfId="327" applyFill="1" applyBorder="1" applyAlignment="1">
      <alignment vertical="top"/>
    </xf>
    <xf numFmtId="44" fontId="103" fillId="0" borderId="55" xfId="329" applyFont="1" applyFill="1" applyBorder="1" applyAlignment="1">
      <alignment horizontal="center" vertical="top" wrapText="1"/>
    </xf>
    <xf numFmtId="16" fontId="103" fillId="0" borderId="55" xfId="327" applyNumberFormat="1" applyFont="1" applyFill="1" applyBorder="1" applyAlignment="1">
      <alignment horizontal="center" vertical="top" wrapText="1"/>
    </xf>
    <xf numFmtId="0" fontId="103" fillId="0" borderId="55" xfId="327" applyFont="1" applyFill="1" applyBorder="1" applyAlignment="1">
      <alignment horizontal="center" vertical="top" wrapText="1"/>
    </xf>
    <xf numFmtId="0" fontId="103" fillId="0" borderId="55" xfId="327" applyFont="1" applyFill="1" applyBorder="1" applyAlignment="1">
      <alignment vertical="top" wrapText="1"/>
    </xf>
    <xf numFmtId="44" fontId="0" fillId="0" borderId="55" xfId="329" applyFont="1" applyFill="1" applyBorder="1" applyAlignment="1">
      <alignment vertical="top"/>
    </xf>
    <xf numFmtId="168" fontId="3" fillId="0" borderId="55" xfId="327" applyNumberFormat="1" applyFill="1" applyBorder="1"/>
    <xf numFmtId="0" fontId="3" fillId="0" borderId="55" xfId="327" applyFill="1" applyBorder="1"/>
    <xf numFmtId="44" fontId="0" fillId="0" borderId="55" xfId="329" applyFont="1" applyFill="1" applyBorder="1"/>
    <xf numFmtId="168" fontId="3" fillId="0" borderId="55" xfId="327" applyNumberFormat="1" applyFill="1" applyBorder="1" applyAlignment="1">
      <alignment vertical="top"/>
    </xf>
    <xf numFmtId="44" fontId="93" fillId="0" borderId="55" xfId="329" applyFont="1" applyFill="1" applyBorder="1" applyAlignment="1">
      <alignment vertical="top"/>
    </xf>
    <xf numFmtId="0" fontId="3" fillId="0" borderId="55" xfId="327" applyFill="1" applyBorder="1" applyAlignment="1">
      <alignment horizontal="left" vertical="top" wrapText="1" indent="2"/>
    </xf>
    <xf numFmtId="0" fontId="3" fillId="0" borderId="55" xfId="327" applyFill="1" applyBorder="1" applyAlignment="1">
      <alignment horizontal="left" vertical="top" indent="2"/>
    </xf>
    <xf numFmtId="44" fontId="0" fillId="0" borderId="55" xfId="329" applyFont="1" applyFill="1" applyBorder="1" applyAlignment="1">
      <alignment vertical="top" wrapText="1"/>
    </xf>
    <xf numFmtId="0" fontId="3" fillId="0" borderId="55" xfId="327" applyFill="1" applyBorder="1" applyAlignment="1">
      <alignment wrapText="1"/>
    </xf>
    <xf numFmtId="0" fontId="3" fillId="0" borderId="53" xfId="327" applyFill="1" applyBorder="1" applyAlignment="1">
      <alignment vertical="top" wrapText="1"/>
    </xf>
    <xf numFmtId="0" fontId="103" fillId="0" borderId="0" xfId="327" applyFont="1" applyFill="1" applyAlignment="1">
      <alignment horizontal="center" vertical="top" wrapText="1"/>
    </xf>
    <xf numFmtId="0" fontId="3" fillId="43" borderId="0" xfId="327" applyFont="1" applyFill="1" applyAlignment="1">
      <alignment vertical="top" wrapText="1"/>
    </xf>
    <xf numFmtId="44" fontId="103" fillId="0" borderId="55" xfId="327" applyNumberFormat="1" applyFont="1" applyFill="1" applyBorder="1" applyAlignment="1">
      <alignment horizontal="center" vertical="top" wrapText="1"/>
    </xf>
    <xf numFmtId="169" fontId="0" fillId="0" borderId="55" xfId="329" applyNumberFormat="1" applyFont="1" applyFill="1" applyBorder="1" applyAlignment="1">
      <alignment vertical="top"/>
    </xf>
    <xf numFmtId="44" fontId="103" fillId="0" borderId="0" xfId="327" applyNumberFormat="1" applyFont="1" applyFill="1" applyAlignment="1">
      <alignment horizontal="center" vertical="top" wrapText="1"/>
    </xf>
    <xf numFmtId="44" fontId="0" fillId="0" borderId="55" xfId="329" applyNumberFormat="1" applyFont="1" applyFill="1" applyBorder="1" applyAlignment="1">
      <alignment vertical="top"/>
    </xf>
    <xf numFmtId="0" fontId="103" fillId="11" borderId="55" xfId="327" applyFont="1" applyFill="1" applyBorder="1" applyAlignment="1">
      <alignment horizontal="center" vertical="top" wrapText="1"/>
    </xf>
    <xf numFmtId="0" fontId="3" fillId="0" borderId="55" xfId="327" applyFill="1" applyBorder="1" applyAlignment="1">
      <alignment horizontal="left" vertical="top" wrapText="1" indent="3"/>
    </xf>
    <xf numFmtId="43" fontId="0" fillId="0" borderId="55" xfId="328" applyNumberFormat="1" applyFont="1" applyFill="1" applyBorder="1" applyAlignment="1">
      <alignment vertical="top"/>
    </xf>
    <xf numFmtId="169" fontId="0" fillId="0" borderId="53" xfId="329" applyNumberFormat="1" applyFont="1" applyFill="1" applyBorder="1" applyAlignment="1">
      <alignment vertical="top"/>
    </xf>
    <xf numFmtId="0" fontId="3" fillId="0" borderId="55" xfId="327" applyFill="1" applyBorder="1" applyAlignment="1">
      <alignment horizontal="left" indent="2"/>
    </xf>
    <xf numFmtId="0" fontId="3" fillId="0" borderId="55" xfId="327" applyFill="1" applyBorder="1" applyAlignment="1">
      <alignment horizontal="left" wrapText="1" indent="2"/>
    </xf>
    <xf numFmtId="0" fontId="3" fillId="11" borderId="55" xfId="327" applyFill="1" applyBorder="1" applyAlignment="1">
      <alignment vertical="top" wrapText="1"/>
    </xf>
    <xf numFmtId="168" fontId="0" fillId="11" borderId="55" xfId="328" applyNumberFormat="1" applyFont="1" applyFill="1" applyBorder="1" applyAlignment="1">
      <alignment vertical="top"/>
    </xf>
    <xf numFmtId="0" fontId="3" fillId="11" borderId="55" xfId="327" applyFill="1" applyBorder="1" applyAlignment="1">
      <alignment vertical="top"/>
    </xf>
    <xf numFmtId="169" fontId="0" fillId="11" borderId="55" xfId="329" applyNumberFormat="1" applyFont="1" applyFill="1" applyBorder="1" applyAlignment="1">
      <alignment vertical="top"/>
    </xf>
    <xf numFmtId="44" fontId="0" fillId="11" borderId="53" xfId="329" applyFont="1" applyFill="1" applyBorder="1" applyAlignment="1">
      <alignment vertical="top"/>
    </xf>
    <xf numFmtId="16" fontId="103" fillId="11" borderId="55" xfId="327" applyNumberFormat="1" applyFont="1" applyFill="1" applyBorder="1" applyAlignment="1">
      <alignment horizontal="center" vertical="top" wrapText="1"/>
    </xf>
    <xf numFmtId="0" fontId="3" fillId="11" borderId="55" xfId="327" applyFill="1" applyBorder="1" applyAlignment="1">
      <alignment wrapText="1"/>
    </xf>
    <xf numFmtId="0" fontId="3" fillId="0" borderId="57" xfId="327" applyFill="1" applyBorder="1"/>
    <xf numFmtId="168" fontId="0" fillId="0" borderId="55" xfId="328" applyNumberFormat="1" applyFont="1" applyFill="1" applyBorder="1"/>
    <xf numFmtId="44" fontId="3" fillId="0" borderId="55" xfId="327" applyNumberFormat="1" applyFill="1" applyBorder="1"/>
    <xf numFmtId="0" fontId="3" fillId="46" borderId="55" xfId="327" applyFill="1" applyBorder="1"/>
    <xf numFmtId="0" fontId="3" fillId="46" borderId="56" xfId="327" applyFill="1" applyBorder="1"/>
    <xf numFmtId="0" fontId="3" fillId="0" borderId="0" xfId="327"/>
    <xf numFmtId="0" fontId="3" fillId="0" borderId="0" xfId="327" applyFill="1" applyAlignment="1">
      <alignment vertical="top" wrapText="1"/>
    </xf>
    <xf numFmtId="0" fontId="3" fillId="0" borderId="56" xfId="327" applyFill="1" applyBorder="1" applyAlignment="1">
      <alignment vertical="top"/>
    </xf>
    <xf numFmtId="0" fontId="3" fillId="0" borderId="56" xfId="327" applyFill="1" applyBorder="1"/>
    <xf numFmtId="44" fontId="103" fillId="0" borderId="55" xfId="329" applyFont="1" applyFill="1" applyBorder="1" applyAlignment="1">
      <alignment vertical="top"/>
    </xf>
    <xf numFmtId="169" fontId="103" fillId="0" borderId="55" xfId="329" applyNumberFormat="1" applyFont="1" applyFill="1" applyBorder="1" applyAlignment="1">
      <alignment horizontal="center" vertical="top" wrapText="1"/>
    </xf>
    <xf numFmtId="0" fontId="108" fillId="0" borderId="55" xfId="327" applyFont="1" applyFill="1" applyBorder="1" applyAlignment="1">
      <alignment vertical="top" wrapText="1"/>
    </xf>
    <xf numFmtId="0" fontId="3" fillId="43" borderId="55" xfId="327" applyFill="1" applyBorder="1" applyAlignment="1">
      <alignment vertical="top" wrapText="1"/>
    </xf>
    <xf numFmtId="0" fontId="93" fillId="0" borderId="55" xfId="327" applyFont="1" applyFill="1" applyBorder="1" applyAlignment="1">
      <alignment vertical="top" wrapText="1"/>
    </xf>
    <xf numFmtId="0" fontId="3" fillId="45" borderId="55" xfId="327" applyFill="1" applyBorder="1" applyAlignment="1">
      <alignment vertical="top" wrapText="1"/>
    </xf>
    <xf numFmtId="0" fontId="3" fillId="0" borderId="58" xfId="327" applyFill="1" applyBorder="1" applyAlignment="1">
      <alignment vertical="top" wrapText="1"/>
    </xf>
    <xf numFmtId="0" fontId="3" fillId="0" borderId="58" xfId="327" applyFill="1" applyBorder="1" applyAlignment="1">
      <alignment vertical="top"/>
    </xf>
    <xf numFmtId="168" fontId="3" fillId="0" borderId="58" xfId="327" applyNumberFormat="1" applyFill="1" applyBorder="1"/>
    <xf numFmtId="0" fontId="3" fillId="0" borderId="58" xfId="327" applyFill="1" applyBorder="1"/>
    <xf numFmtId="0" fontId="103" fillId="0" borderId="58" xfId="327" applyFont="1" applyFill="1" applyBorder="1" applyAlignment="1">
      <alignment vertical="top" wrapText="1"/>
    </xf>
    <xf numFmtId="0" fontId="103" fillId="0" borderId="58" xfId="327" applyFont="1" applyFill="1" applyBorder="1" applyAlignment="1">
      <alignment horizontal="center" vertical="top" wrapText="1"/>
    </xf>
    <xf numFmtId="44" fontId="103" fillId="0" borderId="58" xfId="329" applyFont="1" applyFill="1" applyBorder="1" applyAlignment="1">
      <alignment horizontal="center" vertical="top" wrapText="1"/>
    </xf>
    <xf numFmtId="44" fontId="0" fillId="0" borderId="58" xfId="329" applyFont="1" applyFill="1" applyBorder="1"/>
    <xf numFmtId="16" fontId="103" fillId="0" borderId="58" xfId="327" applyNumberFormat="1" applyFont="1" applyFill="1" applyBorder="1" applyAlignment="1">
      <alignment horizontal="center" vertical="top" wrapText="1"/>
    </xf>
    <xf numFmtId="0" fontId="93" fillId="0" borderId="29" xfId="327" applyFont="1" applyFill="1" applyBorder="1" applyAlignment="1">
      <alignment vertical="top" wrapText="1"/>
    </xf>
    <xf numFmtId="0" fontId="93" fillId="0" borderId="61" xfId="327" applyFont="1" applyFill="1" applyBorder="1" applyAlignment="1">
      <alignment vertical="top" wrapText="1"/>
    </xf>
    <xf numFmtId="0" fontId="93" fillId="0" borderId="62" xfId="327" applyFont="1" applyFill="1" applyBorder="1" applyAlignment="1">
      <alignment horizontal="left" vertical="top" wrapText="1"/>
    </xf>
    <xf numFmtId="168" fontId="93" fillId="0" borderId="62" xfId="327" applyNumberFormat="1" applyFont="1" applyBorder="1"/>
    <xf numFmtId="0" fontId="93" fillId="0" borderId="62" xfId="327" applyFont="1" applyBorder="1"/>
    <xf numFmtId="44" fontId="109" fillId="0" borderId="62" xfId="327" applyNumberFormat="1" applyFont="1" applyFill="1" applyBorder="1" applyAlignment="1">
      <alignment vertical="top" wrapText="1"/>
    </xf>
    <xf numFmtId="0" fontId="109" fillId="0" borderId="62" xfId="327" applyFont="1" applyFill="1" applyBorder="1" applyAlignment="1">
      <alignment horizontal="center" vertical="top" wrapText="1"/>
    </xf>
    <xf numFmtId="44" fontId="109" fillId="0" borderId="62" xfId="329" applyFont="1" applyFill="1" applyBorder="1" applyAlignment="1">
      <alignment horizontal="center" vertical="top" wrapText="1"/>
    </xf>
    <xf numFmtId="44" fontId="109" fillId="0" borderId="63" xfId="329" applyFont="1" applyFill="1" applyBorder="1" applyAlignment="1">
      <alignment horizontal="center" vertical="top" wrapText="1"/>
    </xf>
    <xf numFmtId="16" fontId="109" fillId="0" borderId="29" xfId="327" applyNumberFormat="1" applyFont="1" applyFill="1" applyBorder="1" applyAlignment="1">
      <alignment horizontal="center" vertical="top" wrapText="1"/>
    </xf>
    <xf numFmtId="0" fontId="109" fillId="0" borderId="29" xfId="327" applyFont="1" applyFill="1" applyBorder="1" applyAlignment="1">
      <alignment vertical="top" wrapText="1"/>
    </xf>
    <xf numFmtId="0" fontId="90" fillId="0" borderId="0" xfId="327" applyFont="1" applyFill="1" applyBorder="1" applyAlignment="1">
      <alignment vertical="top" wrapText="1"/>
    </xf>
    <xf numFmtId="0" fontId="93" fillId="0" borderId="64" xfId="327" applyFont="1" applyFill="1" applyBorder="1" applyAlignment="1">
      <alignment vertical="top" wrapText="1"/>
    </xf>
    <xf numFmtId="0" fontId="93" fillId="0" borderId="65" xfId="327" applyFont="1" applyBorder="1" applyAlignment="1">
      <alignment vertical="top" wrapText="1"/>
    </xf>
    <xf numFmtId="168" fontId="93" fillId="0" borderId="65" xfId="328" applyNumberFormat="1" applyFont="1" applyBorder="1" applyAlignment="1">
      <alignment vertical="top"/>
    </xf>
    <xf numFmtId="0" fontId="93" fillId="0" borderId="65" xfId="327" applyFont="1" applyBorder="1" applyAlignment="1">
      <alignment vertical="top"/>
    </xf>
    <xf numFmtId="44" fontId="93" fillId="0" borderId="65" xfId="329" applyFont="1" applyBorder="1" applyAlignment="1">
      <alignment vertical="top"/>
    </xf>
    <xf numFmtId="16" fontId="109" fillId="0" borderId="65" xfId="327" applyNumberFormat="1" applyFont="1" applyFill="1" applyBorder="1" applyAlignment="1">
      <alignment horizontal="center" vertical="top" wrapText="1"/>
    </xf>
    <xf numFmtId="0" fontId="109" fillId="0" borderId="65" xfId="327" applyFont="1" applyFill="1" applyBorder="1" applyAlignment="1">
      <alignment horizontal="center" vertical="top" wrapText="1"/>
    </xf>
    <xf numFmtId="0" fontId="109" fillId="0" borderId="0" xfId="327" applyFont="1" applyFill="1" applyBorder="1" applyAlignment="1">
      <alignment horizontal="center" vertical="top" wrapText="1"/>
    </xf>
    <xf numFmtId="0" fontId="93" fillId="0" borderId="0" xfId="327" applyFont="1" applyBorder="1" applyAlignment="1">
      <alignment vertical="top"/>
    </xf>
    <xf numFmtId="0" fontId="93" fillId="0" borderId="0" xfId="327" applyFont="1" applyFill="1" applyBorder="1" applyAlignment="1">
      <alignment vertical="top" wrapText="1"/>
    </xf>
    <xf numFmtId="0" fontId="93" fillId="0" borderId="66" xfId="327" applyFont="1" applyFill="1" applyBorder="1" applyAlignment="1">
      <alignment vertical="top" wrapText="1"/>
    </xf>
    <xf numFmtId="0" fontId="109" fillId="0" borderId="67" xfId="327" applyFont="1" applyFill="1" applyBorder="1" applyAlignment="1">
      <alignment vertical="top" wrapText="1"/>
    </xf>
    <xf numFmtId="168" fontId="109" fillId="0" borderId="67" xfId="328" applyNumberFormat="1" applyFont="1" applyFill="1" applyBorder="1" applyAlignment="1">
      <alignment vertical="top" wrapText="1"/>
    </xf>
    <xf numFmtId="44" fontId="109" fillId="0" borderId="67" xfId="327" applyNumberFormat="1" applyFont="1" applyFill="1" applyBorder="1" applyAlignment="1">
      <alignment vertical="top" wrapText="1"/>
    </xf>
    <xf numFmtId="0" fontId="109" fillId="0" borderId="67" xfId="327" applyFont="1" applyFill="1" applyBorder="1" applyAlignment="1">
      <alignment horizontal="center" vertical="top" wrapText="1"/>
    </xf>
    <xf numFmtId="44" fontId="109" fillId="0" borderId="67" xfId="329" applyFont="1" applyFill="1" applyBorder="1" applyAlignment="1">
      <alignment horizontal="center" vertical="top" wrapText="1"/>
    </xf>
    <xf numFmtId="44" fontId="109" fillId="0" borderId="68" xfId="327" applyNumberFormat="1" applyFont="1" applyFill="1" applyBorder="1" applyAlignment="1">
      <alignment horizontal="center" vertical="top" wrapText="1"/>
    </xf>
    <xf numFmtId="0" fontId="109" fillId="0" borderId="0" xfId="327" applyFont="1" applyFill="1" applyBorder="1" applyAlignment="1">
      <alignment vertical="top" wrapText="1"/>
    </xf>
    <xf numFmtId="0" fontId="103" fillId="0" borderId="0" xfId="327" applyFont="1" applyFill="1" applyAlignment="1">
      <alignment vertical="top" wrapText="1"/>
    </xf>
    <xf numFmtId="168" fontId="103" fillId="0" borderId="0" xfId="328" applyNumberFormat="1" applyFont="1" applyFill="1" applyAlignment="1">
      <alignment vertical="top" wrapText="1"/>
    </xf>
    <xf numFmtId="169" fontId="103" fillId="0" borderId="0" xfId="329" applyNumberFormat="1" applyFont="1" applyFill="1" applyAlignment="1">
      <alignment vertical="top" wrapText="1"/>
    </xf>
    <xf numFmtId="0" fontId="109" fillId="0" borderId="26" xfId="327" applyFont="1" applyFill="1" applyBorder="1" applyAlignment="1">
      <alignment horizontal="right" vertical="top" wrapText="1"/>
    </xf>
    <xf numFmtId="169" fontId="103" fillId="0" borderId="0" xfId="329" applyNumberFormat="1" applyFont="1" applyFill="1" applyBorder="1" applyAlignment="1">
      <alignment vertical="top" wrapText="1"/>
    </xf>
    <xf numFmtId="44" fontId="103" fillId="0" borderId="0" xfId="329" applyFont="1" applyFill="1" applyAlignment="1">
      <alignment vertical="top" wrapText="1"/>
    </xf>
    <xf numFmtId="43" fontId="103" fillId="0" borderId="0" xfId="328" applyFont="1" applyFill="1" applyAlignment="1">
      <alignment vertical="top" wrapText="1"/>
    </xf>
    <xf numFmtId="44" fontId="103" fillId="0" borderId="0" xfId="327" applyNumberFormat="1" applyFont="1" applyFill="1" applyAlignment="1">
      <alignment vertical="top" wrapText="1"/>
    </xf>
    <xf numFmtId="44" fontId="103" fillId="0" borderId="0" xfId="327" applyNumberFormat="1" applyFont="1" applyFill="1" applyBorder="1" applyAlignment="1">
      <alignment vertical="top" wrapText="1"/>
    </xf>
    <xf numFmtId="169" fontId="103" fillId="0" borderId="30" xfId="329" applyNumberFormat="1" applyFont="1" applyFill="1" applyBorder="1" applyAlignment="1">
      <alignment vertical="top" wrapText="1"/>
    </xf>
    <xf numFmtId="169" fontId="103" fillId="0" borderId="0" xfId="329" applyNumberFormat="1" applyFont="1" applyFill="1" applyAlignment="1">
      <alignment horizontal="center" vertical="top" wrapText="1"/>
    </xf>
    <xf numFmtId="169" fontId="103" fillId="0" borderId="0" xfId="329" applyNumberFormat="1" applyFont="1" applyFill="1" applyBorder="1" applyAlignment="1">
      <alignment horizontal="center" vertical="top" wrapText="1"/>
    </xf>
    <xf numFmtId="44" fontId="93" fillId="0" borderId="29" xfId="8" applyFont="1" applyFill="1" applyBorder="1" applyAlignment="1">
      <alignment vertical="top" wrapText="1"/>
    </xf>
    <xf numFmtId="0" fontId="1" fillId="0" borderId="0" xfId="284" applyFont="1"/>
    <xf numFmtId="0" fontId="8" fillId="0" borderId="0" xfId="0" applyFont="1" applyAlignment="1">
      <alignment horizontal="left" vertical="center" indent="1"/>
    </xf>
    <xf numFmtId="0" fontId="8" fillId="0" borderId="0" xfId="0" applyFont="1" applyBorder="1"/>
    <xf numFmtId="0" fontId="8" fillId="0" borderId="0" xfId="0" applyFont="1" applyAlignment="1">
      <alignment horizontal="left" vertical="center" wrapText="1"/>
    </xf>
    <xf numFmtId="0" fontId="10" fillId="0" borderId="0" xfId="0" applyFont="1" applyAlignment="1">
      <alignment horizontal="center"/>
    </xf>
    <xf numFmtId="0" fontId="8" fillId="0" borderId="0" xfId="0" applyFont="1" applyBorder="1" applyAlignment="1">
      <alignment horizontal="center"/>
    </xf>
    <xf numFmtId="0" fontId="8" fillId="0" borderId="0" xfId="0" applyFont="1" applyBorder="1" applyAlignment="1">
      <alignment wrapText="1"/>
    </xf>
    <xf numFmtId="165" fontId="8" fillId="0" borderId="0" xfId="0" applyNumberFormat="1" applyFont="1" applyBorder="1" applyAlignment="1">
      <alignment horizontal="center"/>
    </xf>
    <xf numFmtId="0" fontId="1" fillId="0" borderId="0" xfId="327" applyFont="1" applyFill="1" applyAlignment="1">
      <alignment vertical="top" wrapText="1"/>
    </xf>
    <xf numFmtId="0" fontId="1" fillId="0" borderId="0" xfId="327" applyFont="1" applyFill="1" applyAlignment="1">
      <alignment vertical="top"/>
    </xf>
    <xf numFmtId="0" fontId="1" fillId="0" borderId="0" xfId="327" applyFont="1" applyFill="1" applyBorder="1" applyAlignment="1">
      <alignment vertical="top"/>
    </xf>
    <xf numFmtId="0" fontId="1" fillId="0" borderId="53" xfId="327" applyFont="1" applyFill="1" applyBorder="1" applyAlignment="1">
      <alignment vertical="top" wrapText="1"/>
    </xf>
    <xf numFmtId="44" fontId="1" fillId="0" borderId="53" xfId="327" applyNumberFormat="1" applyFont="1" applyFill="1" applyBorder="1" applyAlignment="1">
      <alignment vertical="top" wrapText="1"/>
    </xf>
    <xf numFmtId="0" fontId="1" fillId="0" borderId="54" xfId="327" applyFont="1" applyFill="1" applyBorder="1" applyAlignment="1">
      <alignment vertical="top" wrapText="1"/>
    </xf>
    <xf numFmtId="0" fontId="1" fillId="0" borderId="55" xfId="327" applyFont="1" applyFill="1" applyBorder="1" applyAlignment="1">
      <alignment vertical="top" wrapText="1"/>
    </xf>
    <xf numFmtId="0" fontId="1" fillId="0" borderId="56" xfId="327" applyFont="1" applyFill="1" applyBorder="1" applyAlignment="1">
      <alignment vertical="top" wrapText="1"/>
    </xf>
    <xf numFmtId="0" fontId="1" fillId="0" borderId="57" xfId="327" applyFont="1" applyFill="1" applyBorder="1" applyAlignment="1">
      <alignment vertical="top" wrapText="1"/>
    </xf>
    <xf numFmtId="0" fontId="1" fillId="46" borderId="55" xfId="327" applyFont="1" applyFill="1" applyBorder="1" applyAlignment="1">
      <alignment vertical="top" wrapText="1"/>
    </xf>
    <xf numFmtId="0" fontId="1" fillId="46" borderId="56" xfId="327" applyFont="1" applyFill="1" applyBorder="1" applyAlignment="1">
      <alignment vertical="top" wrapText="1"/>
    </xf>
    <xf numFmtId="0" fontId="1" fillId="47" borderId="55" xfId="327" applyFont="1" applyFill="1" applyBorder="1" applyAlignment="1">
      <alignment vertical="top" wrapText="1"/>
    </xf>
    <xf numFmtId="0" fontId="1" fillId="47" borderId="56" xfId="327" applyFont="1" applyFill="1" applyBorder="1" applyAlignment="1">
      <alignment vertical="top" wrapText="1"/>
    </xf>
    <xf numFmtId="0" fontId="1" fillId="46" borderId="58" xfId="327" applyFont="1" applyFill="1" applyBorder="1" applyAlignment="1">
      <alignment vertical="top" wrapText="1"/>
    </xf>
    <xf numFmtId="0" fontId="1" fillId="46" borderId="59" xfId="327" applyFont="1" applyFill="1" applyBorder="1" applyAlignment="1">
      <alignment vertical="top" wrapText="1"/>
    </xf>
    <xf numFmtId="0" fontId="1" fillId="0" borderId="52" xfId="327" applyFont="1" applyFill="1" applyBorder="1" applyAlignment="1">
      <alignment vertical="top" wrapText="1"/>
    </xf>
    <xf numFmtId="0" fontId="1" fillId="43" borderId="57" xfId="327" applyFont="1" applyFill="1" applyBorder="1" applyAlignment="1">
      <alignment vertical="top" wrapText="1"/>
    </xf>
    <xf numFmtId="0" fontId="1" fillId="43" borderId="55" xfId="327" applyFont="1" applyFill="1" applyBorder="1" applyAlignment="1">
      <alignment vertical="top" wrapText="1"/>
    </xf>
    <xf numFmtId="0" fontId="1" fillId="0" borderId="58" xfId="327" applyFont="1" applyFill="1" applyBorder="1" applyAlignment="1">
      <alignment vertical="top" wrapText="1"/>
    </xf>
    <xf numFmtId="0" fontId="1" fillId="0" borderId="59" xfId="327" applyFont="1" applyFill="1" applyBorder="1" applyAlignment="1">
      <alignment vertical="top" wrapText="1"/>
    </xf>
    <xf numFmtId="0" fontId="1" fillId="0" borderId="55" xfId="327" applyFont="1" applyFill="1" applyBorder="1" applyAlignment="1">
      <alignment wrapText="1"/>
    </xf>
    <xf numFmtId="0" fontId="1" fillId="11" borderId="58" xfId="327" applyFont="1" applyFill="1" applyBorder="1" applyAlignment="1">
      <alignment vertical="top" wrapText="1"/>
    </xf>
    <xf numFmtId="0" fontId="1" fillId="11" borderId="59" xfId="327" applyFont="1" applyFill="1" applyBorder="1" applyAlignment="1">
      <alignment vertical="top" wrapText="1"/>
    </xf>
    <xf numFmtId="0" fontId="1" fillId="11" borderId="56" xfId="327" applyFont="1" applyFill="1" applyBorder="1" applyAlignment="1">
      <alignment vertical="top" wrapText="1"/>
    </xf>
    <xf numFmtId="0" fontId="1" fillId="0" borderId="55" xfId="327" applyFont="1" applyFill="1" applyBorder="1" applyAlignment="1">
      <alignment horizontal="left" vertical="top" wrapText="1" indent="3"/>
    </xf>
    <xf numFmtId="44" fontId="1" fillId="0" borderId="54" xfId="327" applyNumberFormat="1" applyFont="1" applyFill="1" applyBorder="1" applyAlignment="1">
      <alignment vertical="top" wrapText="1"/>
    </xf>
    <xf numFmtId="44" fontId="1" fillId="0" borderId="54" xfId="8" applyFont="1" applyFill="1" applyBorder="1" applyAlignment="1">
      <alignment vertical="top" wrapText="1"/>
    </xf>
    <xf numFmtId="0" fontId="1" fillId="0" borderId="54" xfId="327" applyFont="1" applyFill="1" applyBorder="1" applyAlignment="1">
      <alignment horizontal="left" vertical="top" wrapText="1"/>
    </xf>
    <xf numFmtId="0" fontId="1" fillId="48" borderId="54" xfId="327" applyFont="1" applyFill="1" applyBorder="1" applyAlignment="1">
      <alignment vertical="top" wrapText="1"/>
    </xf>
    <xf numFmtId="0" fontId="1" fillId="43" borderId="56" xfId="327" applyFont="1" applyFill="1" applyBorder="1" applyAlignment="1">
      <alignment vertical="top" wrapText="1"/>
    </xf>
    <xf numFmtId="0" fontId="1" fillId="0" borderId="60" xfId="327" applyFont="1" applyFill="1" applyBorder="1" applyAlignment="1">
      <alignment vertical="top" wrapText="1"/>
    </xf>
    <xf numFmtId="168" fontId="1" fillId="0" borderId="0" xfId="327" applyNumberFormat="1" applyFont="1" applyFill="1" applyAlignment="1">
      <alignment vertical="top" wrapText="1"/>
    </xf>
    <xf numFmtId="0" fontId="20" fillId="0" borderId="0" xfId="0" applyFont="1" applyAlignment="1">
      <alignment horizontal="left" vertical="center"/>
    </xf>
    <xf numFmtId="0" fontId="20" fillId="0" borderId="0" xfId="0" applyFont="1" applyAlignment="1"/>
    <xf numFmtId="0" fontId="21" fillId="0" borderId="0" xfId="0" applyFont="1" applyAlignment="1"/>
    <xf numFmtId="0" fontId="17" fillId="2" borderId="17" xfId="0" applyNumberFormat="1" applyFont="1" applyFill="1" applyBorder="1" applyAlignment="1" applyProtection="1">
      <alignment horizontal="center" vertical="center" wrapText="1" readingOrder="1"/>
    </xf>
    <xf numFmtId="0" fontId="17" fillId="2" borderId="0" xfId="0" applyNumberFormat="1" applyFont="1" applyFill="1" applyBorder="1" applyAlignment="1" applyProtection="1">
      <alignment horizontal="center" vertical="center" wrapText="1" readingOrder="1"/>
    </xf>
    <xf numFmtId="3" fontId="17" fillId="2" borderId="0" xfId="0" applyNumberFormat="1" applyFont="1" applyFill="1" applyBorder="1" applyAlignment="1" applyProtection="1">
      <alignment horizontal="center" readingOrder="1"/>
    </xf>
    <xf numFmtId="0" fontId="17" fillId="2" borderId="0" xfId="0" applyNumberFormat="1" applyFont="1" applyFill="1" applyBorder="1" applyAlignment="1" applyProtection="1">
      <alignment horizontal="center" readingOrder="1"/>
    </xf>
    <xf numFmtId="0" fontId="110" fillId="0" borderId="0" xfId="0" applyNumberFormat="1" applyFont="1" applyFill="1" applyBorder="1" applyAlignment="1" applyProtection="1">
      <alignment horizontal="left" vertical="center" wrapText="1" readingOrder="1"/>
    </xf>
    <xf numFmtId="3" fontId="110" fillId="0" borderId="0" xfId="0" applyNumberFormat="1" applyFont="1" applyFill="1" applyBorder="1" applyAlignment="1" applyProtection="1">
      <alignment horizontal="right" vertical="top" readingOrder="1"/>
    </xf>
    <xf numFmtId="0" fontId="110" fillId="0" borderId="0" xfId="0" applyNumberFormat="1" applyFont="1" applyFill="1" applyBorder="1" applyAlignment="1" applyProtection="1">
      <alignment horizontal="left" vertical="top" readingOrder="1"/>
    </xf>
    <xf numFmtId="0" fontId="17" fillId="5" borderId="19" xfId="0" applyNumberFormat="1" applyFont="1" applyFill="1" applyBorder="1" applyAlignment="1" applyProtection="1">
      <alignment horizontal="center" vertical="top" readingOrder="1"/>
    </xf>
    <xf numFmtId="0" fontId="17" fillId="5" borderId="4" xfId="0" applyNumberFormat="1" applyFont="1" applyFill="1" applyBorder="1" applyAlignment="1" applyProtection="1">
      <alignment horizontal="left" vertical="top" wrapText="1" readingOrder="1"/>
    </xf>
    <xf numFmtId="3" fontId="13" fillId="5" borderId="4" xfId="0" applyNumberFormat="1" applyFont="1" applyFill="1" applyBorder="1" applyAlignment="1">
      <alignment vertical="top"/>
    </xf>
    <xf numFmtId="0" fontId="13" fillId="5" borderId="4" xfId="0" applyFont="1" applyFill="1" applyBorder="1" applyAlignment="1">
      <alignment vertical="top"/>
    </xf>
    <xf numFmtId="164" fontId="13" fillId="5" borderId="4" xfId="0" applyNumberFormat="1" applyFont="1" applyFill="1" applyBorder="1" applyAlignment="1">
      <alignment vertical="top"/>
    </xf>
    <xf numFmtId="165" fontId="16" fillId="5" borderId="4" xfId="0" applyNumberFormat="1" applyFont="1" applyFill="1" applyBorder="1" applyAlignment="1">
      <alignment horizontal="center" vertical="top" wrapText="1"/>
    </xf>
    <xf numFmtId="0" fontId="13" fillId="5" borderId="12" xfId="0" applyFont="1" applyFill="1" applyBorder="1" applyAlignment="1">
      <alignment vertical="top"/>
    </xf>
    <xf numFmtId="164" fontId="16" fillId="5" borderId="13" xfId="0" applyNumberFormat="1" applyFont="1" applyFill="1" applyBorder="1" applyAlignment="1">
      <alignment horizontal="center" vertical="top" wrapText="1"/>
    </xf>
    <xf numFmtId="0" fontId="13" fillId="0" borderId="0" xfId="0" applyFont="1" applyAlignment="1">
      <alignment vertical="top"/>
    </xf>
    <xf numFmtId="165" fontId="13" fillId="49" borderId="14" xfId="0" applyNumberFormat="1" applyFont="1" applyFill="1" applyBorder="1" applyAlignment="1">
      <alignment horizontal="center"/>
    </xf>
    <xf numFmtId="166" fontId="13" fillId="5" borderId="4" xfId="0" applyNumberFormat="1" applyFont="1" applyFill="1" applyBorder="1" applyAlignment="1">
      <alignment vertical="top"/>
    </xf>
    <xf numFmtId="165" fontId="13" fillId="49" borderId="14" xfId="0" applyNumberFormat="1" applyFont="1" applyFill="1" applyBorder="1" applyAlignment="1">
      <alignment horizontal="right"/>
    </xf>
    <xf numFmtId="0" fontId="16" fillId="0" borderId="0" xfId="0" applyFont="1" applyAlignment="1">
      <alignment vertical="top"/>
    </xf>
    <xf numFmtId="165" fontId="13" fillId="49" borderId="14" xfId="0" applyNumberFormat="1" applyFont="1" applyFill="1" applyBorder="1" applyAlignment="1">
      <alignment horizontal="right" vertical="top"/>
    </xf>
    <xf numFmtId="0" fontId="55" fillId="0" borderId="17" xfId="0" applyNumberFormat="1" applyFont="1" applyFill="1" applyBorder="1" applyAlignment="1" applyProtection="1">
      <alignment horizontal="center" vertical="top" readingOrder="1"/>
    </xf>
    <xf numFmtId="0" fontId="13" fillId="0" borderId="14" xfId="0" applyFont="1" applyBorder="1" applyAlignment="1">
      <alignment vertical="top"/>
    </xf>
    <xf numFmtId="165" fontId="13" fillId="0" borderId="14" xfId="0" applyNumberFormat="1" applyFont="1" applyFill="1" applyBorder="1" applyAlignment="1">
      <alignment horizontal="right" vertical="top"/>
    </xf>
    <xf numFmtId="165" fontId="17" fillId="6" borderId="69" xfId="0" applyNumberFormat="1" applyFont="1" applyFill="1" applyBorder="1" applyAlignment="1" applyProtection="1">
      <alignment horizontal="right" vertical="top" readingOrder="1"/>
    </xf>
    <xf numFmtId="0" fontId="37" fillId="0" borderId="3" xfId="0" applyFont="1" applyBorder="1" applyAlignment="1">
      <alignment horizontal="right"/>
    </xf>
    <xf numFmtId="0" fontId="111" fillId="0" borderId="3" xfId="0" applyFont="1" applyFill="1" applyBorder="1" applyAlignment="1">
      <alignment horizontal="right"/>
    </xf>
    <xf numFmtId="0" fontId="37" fillId="0" borderId="70" xfId="0" applyFont="1" applyBorder="1" applyAlignment="1">
      <alignment horizontal="right"/>
    </xf>
    <xf numFmtId="165" fontId="37" fillId="0" borderId="70" xfId="0" applyNumberFormat="1" applyFont="1" applyBorder="1" applyAlignment="1">
      <alignment horizontal="right"/>
    </xf>
    <xf numFmtId="0" fontId="0" fillId="0" borderId="0" xfId="0" applyAlignment="1"/>
    <xf numFmtId="0" fontId="17" fillId="2" borderId="8" xfId="0" applyNumberFormat="1" applyFont="1" applyFill="1" applyBorder="1" applyAlignment="1" applyProtection="1">
      <alignment horizontal="center" vertical="center" wrapText="1" readingOrder="1"/>
    </xf>
    <xf numFmtId="0" fontId="109" fillId="0" borderId="0" xfId="327" applyFont="1" applyFill="1" applyAlignment="1">
      <alignment horizontal="right" vertical="top" wrapText="1"/>
    </xf>
    <xf numFmtId="0" fontId="17" fillId="43" borderId="0" xfId="0" applyNumberFormat="1" applyFont="1" applyFill="1" applyBorder="1" applyAlignment="1" applyProtection="1">
      <alignment horizontal="left" vertical="center" wrapText="1" readingOrder="1"/>
    </xf>
    <xf numFmtId="0" fontId="112" fillId="0" borderId="0" xfId="0" applyFont="1"/>
    <xf numFmtId="0" fontId="113" fillId="0" borderId="0" xfId="0" applyFont="1"/>
    <xf numFmtId="0" fontId="112" fillId="0" borderId="0" xfId="0" applyFont="1" applyAlignment="1">
      <alignment horizontal="center"/>
    </xf>
    <xf numFmtId="0" fontId="112" fillId="0" borderId="0" xfId="0" applyFont="1" applyAlignment="1">
      <alignment vertical="top"/>
    </xf>
    <xf numFmtId="0" fontId="15" fillId="50" borderId="0" xfId="0" applyNumberFormat="1" applyFont="1" applyFill="1" applyBorder="1" applyAlignment="1" applyProtection="1">
      <alignment horizontal="left" vertical="top" readingOrder="1"/>
    </xf>
    <xf numFmtId="0" fontId="112" fillId="0" borderId="0" xfId="0" applyFont="1" applyAlignment="1">
      <alignment wrapText="1"/>
    </xf>
    <xf numFmtId="3" fontId="15" fillId="50" borderId="0" xfId="0" applyNumberFormat="1" applyFont="1" applyFill="1" applyBorder="1" applyAlignment="1" applyProtection="1">
      <alignment horizontal="right" vertical="top" readingOrder="1"/>
    </xf>
    <xf numFmtId="0" fontId="17" fillId="0" borderId="0" xfId="0" applyNumberFormat="1" applyFont="1" applyFill="1" applyBorder="1" applyAlignment="1" applyProtection="1">
      <alignment horizontal="left" vertical="top" readingOrder="1"/>
    </xf>
    <xf numFmtId="0" fontId="16" fillId="0" borderId="0" xfId="0" applyNumberFormat="1" applyFont="1" applyFill="1" applyBorder="1" applyAlignment="1" applyProtection="1">
      <alignment horizontal="left" vertical="top" readingOrder="1"/>
    </xf>
    <xf numFmtId="0" fontId="15" fillId="0" borderId="27" xfId="0" applyNumberFormat="1" applyFont="1" applyFill="1" applyBorder="1" applyAlignment="1" applyProtection="1">
      <alignment horizontal="left" vertical="top" readingOrder="1"/>
    </xf>
    <xf numFmtId="0" fontId="17" fillId="2" borderId="27" xfId="0" applyNumberFormat="1" applyFont="1" applyFill="1" applyBorder="1" applyAlignment="1" applyProtection="1">
      <alignment horizontal="left" vertical="top" readingOrder="1"/>
    </xf>
    <xf numFmtId="0" fontId="13" fillId="0" borderId="27" xfId="0" applyFont="1" applyBorder="1"/>
    <xf numFmtId="3" fontId="17" fillId="2" borderId="27" xfId="0" applyNumberFormat="1" applyFont="1" applyFill="1" applyBorder="1" applyAlignment="1" applyProtection="1">
      <alignment horizontal="right" vertical="top" readingOrder="1"/>
    </xf>
    <xf numFmtId="0" fontId="17" fillId="2" borderId="26" xfId="0" applyNumberFormat="1" applyFont="1" applyFill="1" applyBorder="1" applyAlignment="1" applyProtection="1">
      <alignment horizontal="left" vertical="top" readingOrder="1"/>
    </xf>
    <xf numFmtId="0" fontId="15" fillId="50" borderId="27" xfId="0" applyNumberFormat="1" applyFont="1" applyFill="1" applyBorder="1" applyAlignment="1" applyProtection="1">
      <alignment horizontal="left" vertical="top" readingOrder="1"/>
    </xf>
    <xf numFmtId="173" fontId="15" fillId="0" borderId="0" xfId="0" applyNumberFormat="1" applyFont="1" applyFill="1" applyBorder="1" applyAlignment="1" applyProtection="1">
      <alignment horizontal="right" vertical="top" readingOrder="1"/>
    </xf>
    <xf numFmtId="0" fontId="15" fillId="50" borderId="26" xfId="0" applyNumberFormat="1" applyFont="1" applyFill="1" applyBorder="1" applyAlignment="1" applyProtection="1">
      <alignment horizontal="left" vertical="top" readingOrder="1"/>
    </xf>
    <xf numFmtId="173" fontId="15" fillId="50" borderId="0" xfId="0" applyNumberFormat="1" applyFont="1" applyFill="1" applyBorder="1" applyAlignment="1" applyProtection="1">
      <alignment horizontal="right" vertical="top" readingOrder="1"/>
    </xf>
    <xf numFmtId="173" fontId="15" fillId="50" borderId="26" xfId="0" applyNumberFormat="1" applyFont="1" applyFill="1" applyBorder="1" applyAlignment="1" applyProtection="1">
      <alignment horizontal="left" vertical="top" readingOrder="1"/>
    </xf>
    <xf numFmtId="2" fontId="13" fillId="0" borderId="26" xfId="0" applyNumberFormat="1" applyFont="1" applyBorder="1"/>
    <xf numFmtId="174" fontId="13" fillId="0" borderId="26" xfId="0" applyNumberFormat="1" applyFont="1" applyBorder="1"/>
    <xf numFmtId="0" fontId="8" fillId="0" borderId="0" xfId="0" applyFont="1"/>
    <xf numFmtId="0" fontId="110" fillId="0" borderId="27" xfId="0" applyNumberFormat="1" applyFont="1" applyFill="1" applyBorder="1" applyAlignment="1" applyProtection="1">
      <alignment horizontal="left" vertical="top" readingOrder="1"/>
    </xf>
    <xf numFmtId="174" fontId="110" fillId="0" borderId="26" xfId="0" applyNumberFormat="1" applyFont="1" applyFill="1" applyBorder="1" applyAlignment="1" applyProtection="1">
      <alignment horizontal="right" vertical="top" readingOrder="1"/>
    </xf>
    <xf numFmtId="174" fontId="13" fillId="0" borderId="26" xfId="0" applyNumberFormat="1" applyFont="1" applyBorder="1" applyAlignment="1">
      <alignment horizontal="right"/>
    </xf>
    <xf numFmtId="0" fontId="13" fillId="0" borderId="26" xfId="0" applyFont="1" applyBorder="1" applyAlignment="1">
      <alignment horizontal="right"/>
    </xf>
    <xf numFmtId="0" fontId="15" fillId="50" borderId="0" xfId="0" applyNumberFormat="1" applyFont="1" applyFill="1" applyBorder="1" applyAlignment="1" applyProtection="1">
      <alignment horizontal="left" vertical="top" wrapText="1" readingOrder="1"/>
    </xf>
    <xf numFmtId="0" fontId="112" fillId="0" borderId="0" xfId="0" applyNumberFormat="1" applyFont="1"/>
    <xf numFmtId="0" fontId="15" fillId="43" borderId="0" xfId="0" applyNumberFormat="1" applyFont="1" applyFill="1" applyBorder="1" applyAlignment="1" applyProtection="1">
      <alignment horizontal="left" vertical="top" wrapText="1" readingOrder="1"/>
    </xf>
    <xf numFmtId="0" fontId="15" fillId="43" borderId="0" xfId="0" applyNumberFormat="1" applyFont="1" applyFill="1" applyBorder="1" applyAlignment="1" applyProtection="1">
      <alignment horizontal="left" vertical="top" readingOrder="1"/>
    </xf>
    <xf numFmtId="0" fontId="15" fillId="0" borderId="34" xfId="0" applyNumberFormat="1" applyFont="1" applyFill="1" applyBorder="1" applyAlignment="1" applyProtection="1">
      <alignment horizontal="left" vertical="top" readingOrder="1"/>
    </xf>
    <xf numFmtId="3" fontId="15" fillId="0" borderId="33" xfId="0" applyNumberFormat="1" applyFont="1" applyFill="1" applyBorder="1" applyAlignment="1" applyProtection="1">
      <alignment horizontal="left" vertical="top" readingOrder="1"/>
    </xf>
    <xf numFmtId="3" fontId="15" fillId="43" borderId="0" xfId="0" applyNumberFormat="1" applyFont="1" applyFill="1" applyBorder="1" applyAlignment="1" applyProtection="1">
      <alignment horizontal="right" vertical="top" readingOrder="1"/>
    </xf>
    <xf numFmtId="3" fontId="15" fillId="43" borderId="0" xfId="0" applyNumberFormat="1" applyFont="1" applyFill="1" applyBorder="1" applyAlignment="1" applyProtection="1">
      <alignment horizontal="left" vertical="top" readingOrder="1"/>
    </xf>
    <xf numFmtId="0" fontId="15" fillId="43" borderId="33" xfId="0" applyNumberFormat="1" applyFont="1" applyFill="1" applyBorder="1" applyAlignment="1" applyProtection="1">
      <alignment horizontal="left" vertical="top" readingOrder="1"/>
    </xf>
    <xf numFmtId="0" fontId="15" fillId="50" borderId="33" xfId="0" applyNumberFormat="1" applyFont="1" applyFill="1" applyBorder="1" applyAlignment="1" applyProtection="1">
      <alignment horizontal="left" vertical="top" readingOrder="1"/>
    </xf>
    <xf numFmtId="174" fontId="13" fillId="0" borderId="32" xfId="0" applyNumberFormat="1" applyFont="1" applyBorder="1"/>
    <xf numFmtId="0" fontId="13" fillId="0" borderId="34" xfId="0" applyFont="1" applyBorder="1"/>
    <xf numFmtId="0" fontId="15" fillId="43" borderId="33" xfId="0" applyNumberFormat="1" applyFont="1" applyFill="1" applyBorder="1" applyAlignment="1" applyProtection="1">
      <alignment horizontal="left" vertical="top" wrapText="1" readingOrder="1"/>
    </xf>
    <xf numFmtId="0" fontId="15" fillId="50" borderId="32" xfId="0" applyNumberFormat="1" applyFont="1" applyFill="1" applyBorder="1" applyAlignment="1" applyProtection="1">
      <alignment horizontal="left" vertical="top" readingOrder="1"/>
    </xf>
    <xf numFmtId="0" fontId="15" fillId="50" borderId="34" xfId="0" applyNumberFormat="1" applyFont="1" applyFill="1" applyBorder="1" applyAlignment="1" applyProtection="1">
      <alignment horizontal="left" vertical="top" readingOrder="1"/>
    </xf>
    <xf numFmtId="173" fontId="15" fillId="0" borderId="33" xfId="0" applyNumberFormat="1" applyFont="1" applyFill="1" applyBorder="1" applyAlignment="1" applyProtection="1">
      <alignment horizontal="right" vertical="top" readingOrder="1"/>
    </xf>
    <xf numFmtId="0" fontId="15" fillId="0" borderId="27" xfId="0" applyNumberFormat="1" applyFont="1" applyFill="1" applyBorder="1" applyAlignment="1" applyProtection="1">
      <alignment horizontal="left" vertical="top" wrapText="1" readingOrder="1"/>
    </xf>
    <xf numFmtId="0" fontId="15" fillId="0" borderId="34" xfId="0" applyNumberFormat="1" applyFont="1" applyFill="1" applyBorder="1" applyAlignment="1" applyProtection="1">
      <alignment horizontal="left" vertical="top" wrapText="1" readingOrder="1"/>
    </xf>
    <xf numFmtId="3" fontId="15" fillId="0" borderId="26" xfId="0" applyNumberFormat="1" applyFont="1" applyFill="1" applyBorder="1" applyAlignment="1" applyProtection="1">
      <alignment horizontal="right" vertical="top" readingOrder="1"/>
    </xf>
    <xf numFmtId="3" fontId="15" fillId="50" borderId="26" xfId="0" applyNumberFormat="1" applyFont="1" applyFill="1" applyBorder="1" applyAlignment="1" applyProtection="1">
      <alignment horizontal="right" vertical="top" readingOrder="1"/>
    </xf>
    <xf numFmtId="0" fontId="15" fillId="50" borderId="27" xfId="0" applyNumberFormat="1" applyFont="1" applyFill="1" applyBorder="1" applyAlignment="1" applyProtection="1">
      <alignment horizontal="left" vertical="top" wrapText="1" readingOrder="1"/>
    </xf>
    <xf numFmtId="3" fontId="15" fillId="0" borderId="32" xfId="0" applyNumberFormat="1" applyFont="1" applyFill="1" applyBorder="1" applyAlignment="1" applyProtection="1">
      <alignment horizontal="right" vertical="top" readingOrder="1"/>
    </xf>
    <xf numFmtId="0" fontId="54" fillId="9" borderId="28" xfId="0" applyFont="1" applyFill="1" applyBorder="1" applyAlignment="1">
      <alignment horizontal="left" vertical="center" indent="4"/>
    </xf>
    <xf numFmtId="0" fontId="54" fillId="9" borderId="29" xfId="0" applyFont="1" applyFill="1" applyBorder="1" applyAlignment="1">
      <alignment horizontal="left" vertical="center" indent="4"/>
    </xf>
    <xf numFmtId="0" fontId="54" fillId="9" borderId="30" xfId="0" applyFont="1" applyFill="1" applyBorder="1" applyAlignment="1">
      <alignment horizontal="left" vertical="center" indent="4"/>
    </xf>
    <xf numFmtId="0" fontId="36" fillId="0" borderId="0" xfId="0" applyFont="1" applyAlignment="1">
      <alignment horizontal="center"/>
    </xf>
    <xf numFmtId="0" fontId="42" fillId="7" borderId="25" xfId="0" applyFont="1" applyFill="1" applyBorder="1" applyAlignment="1">
      <alignment horizontal="center" vertical="center"/>
    </xf>
    <xf numFmtId="0" fontId="42" fillId="7" borderId="20" xfId="0" applyFont="1" applyFill="1" applyBorder="1" applyAlignment="1">
      <alignment horizontal="center" vertical="center" wrapText="1"/>
    </xf>
    <xf numFmtId="0" fontId="42" fillId="7" borderId="21" xfId="0" applyFont="1" applyFill="1" applyBorder="1" applyAlignment="1">
      <alignment horizontal="center" vertical="center" wrapText="1"/>
    </xf>
    <xf numFmtId="0" fontId="42" fillId="7" borderId="22" xfId="0" applyFont="1" applyFill="1" applyBorder="1" applyAlignment="1">
      <alignment horizontal="center" vertical="center" wrapText="1"/>
    </xf>
    <xf numFmtId="14" fontId="75" fillId="0" borderId="0" xfId="0" applyNumberFormat="1" applyFont="1" applyAlignment="1">
      <alignment horizontal="left"/>
    </xf>
    <xf numFmtId="0" fontId="0" fillId="0" borderId="0" xfId="0" applyAlignment="1"/>
    <xf numFmtId="165" fontId="17" fillId="2" borderId="4" xfId="0" applyNumberFormat="1" applyFont="1" applyFill="1" applyBorder="1" applyAlignment="1" applyProtection="1">
      <alignment horizontal="center" wrapText="1" readingOrder="1"/>
    </xf>
    <xf numFmtId="165" fontId="13" fillId="0" borderId="8" xfId="0" applyNumberFormat="1" applyFont="1" applyBorder="1" applyAlignment="1">
      <alignment horizontal="center" wrapText="1" readingOrder="1"/>
    </xf>
    <xf numFmtId="0" fontId="17" fillId="2" borderId="19" xfId="0" applyNumberFormat="1" applyFont="1" applyFill="1" applyBorder="1" applyAlignment="1" applyProtection="1">
      <alignment horizontal="center" vertical="center" wrapText="1" readingOrder="1"/>
    </xf>
    <xf numFmtId="0" fontId="0" fillId="0" borderId="18" xfId="0" applyBorder="1" applyAlignment="1">
      <alignment horizontal="center" vertical="center" wrapText="1" readingOrder="1"/>
    </xf>
    <xf numFmtId="0" fontId="16" fillId="0" borderId="4" xfId="0" applyFont="1" applyBorder="1" applyAlignment="1">
      <alignment horizontal="left"/>
    </xf>
    <xf numFmtId="3" fontId="16" fillId="0" borderId="72" xfId="0" applyNumberFormat="1" applyFont="1" applyFill="1" applyBorder="1" applyAlignment="1" applyProtection="1">
      <alignment horizontal="left" vertical="top" readingOrder="1"/>
    </xf>
    <xf numFmtId="3" fontId="16" fillId="0" borderId="71" xfId="0" applyNumberFormat="1" applyFont="1" applyFill="1" applyBorder="1" applyAlignment="1" applyProtection="1">
      <alignment horizontal="left" vertical="top" readingOrder="1"/>
    </xf>
    <xf numFmtId="0" fontId="16" fillId="0" borderId="28" xfId="0" applyNumberFormat="1" applyFont="1" applyFill="1" applyBorder="1" applyAlignment="1" applyProtection="1">
      <alignment horizontal="center" vertical="top" readingOrder="1"/>
    </xf>
    <xf numFmtId="0" fontId="16" fillId="0" borderId="29" xfId="0" applyNumberFormat="1" applyFont="1" applyFill="1" applyBorder="1" applyAlignment="1" applyProtection="1">
      <alignment horizontal="center" vertical="top" readingOrder="1"/>
    </xf>
    <xf numFmtId="0" fontId="17" fillId="43" borderId="29" xfId="0" applyNumberFormat="1" applyFont="1" applyFill="1" applyBorder="1" applyAlignment="1" applyProtection="1">
      <alignment horizontal="right" vertical="top" readingOrder="1"/>
    </xf>
    <xf numFmtId="0" fontId="17" fillId="43" borderId="30" xfId="0" applyNumberFormat="1" applyFont="1" applyFill="1" applyBorder="1" applyAlignment="1" applyProtection="1">
      <alignment horizontal="right" vertical="top" readingOrder="1"/>
    </xf>
    <xf numFmtId="0" fontId="17" fillId="2" borderId="4" xfId="0" applyNumberFormat="1" applyFont="1" applyFill="1" applyBorder="1" applyAlignment="1" applyProtection="1">
      <alignment horizontal="center" vertical="center" wrapText="1" readingOrder="1"/>
    </xf>
    <xf numFmtId="0" fontId="17" fillId="2" borderId="18" xfId="0" applyNumberFormat="1" applyFont="1" applyFill="1" applyBorder="1" applyAlignment="1" applyProtection="1">
      <alignment horizontal="center" vertical="center" wrapText="1" readingOrder="1"/>
    </xf>
    <xf numFmtId="0" fontId="17" fillId="2" borderId="8" xfId="0" applyNumberFormat="1" applyFont="1" applyFill="1" applyBorder="1" applyAlignment="1" applyProtection="1">
      <alignment horizontal="center" vertical="center" wrapText="1" readingOrder="1"/>
    </xf>
    <xf numFmtId="0" fontId="112" fillId="0" borderId="0" xfId="0" applyFont="1" applyAlignment="1">
      <alignment horizontal="left" vertical="top" wrapText="1"/>
    </xf>
    <xf numFmtId="3" fontId="16" fillId="0" borderId="0" xfId="0" applyNumberFormat="1" applyFont="1" applyFill="1" applyBorder="1" applyAlignment="1" applyProtection="1">
      <alignment horizontal="left" vertical="top" readingOrder="1"/>
    </xf>
    <xf numFmtId="3" fontId="16" fillId="0" borderId="27" xfId="0" applyNumberFormat="1" applyFont="1" applyFill="1" applyBorder="1" applyAlignment="1" applyProtection="1">
      <alignment horizontal="left" vertical="top" readingOrder="1"/>
    </xf>
    <xf numFmtId="0" fontId="16" fillId="0" borderId="0" xfId="0" applyFont="1" applyBorder="1" applyAlignment="1">
      <alignment horizontal="left"/>
    </xf>
    <xf numFmtId="0" fontId="16" fillId="0" borderId="27" xfId="0" applyFont="1" applyBorder="1" applyAlignment="1">
      <alignment horizontal="left"/>
    </xf>
    <xf numFmtId="0" fontId="16" fillId="0" borderId="71" xfId="0" applyFont="1" applyBorder="1" applyAlignment="1">
      <alignment horizontal="left"/>
    </xf>
    <xf numFmtId="0" fontId="109" fillId="0" borderId="0" xfId="327" applyFont="1" applyFill="1" applyAlignment="1">
      <alignment horizontal="right" vertical="top" wrapText="1"/>
    </xf>
    <xf numFmtId="0" fontId="109" fillId="0" borderId="33" xfId="327" applyFont="1" applyFill="1" applyBorder="1" applyAlignment="1">
      <alignment horizontal="center" vertical="top" wrapText="1"/>
    </xf>
    <xf numFmtId="0" fontId="109" fillId="0" borderId="32" xfId="327" applyFont="1" applyFill="1" applyBorder="1" applyAlignment="1">
      <alignment horizontal="center" vertical="top" wrapText="1"/>
    </xf>
  </cellXfs>
  <cellStyles count="331">
    <cellStyle name="_laroux" xfId="1"/>
    <cellStyle name="_laroux 2" xfId="2"/>
    <cellStyle name="_laroux 3" xfId="3"/>
    <cellStyle name="_laroux 4" xfId="4"/>
    <cellStyle name="20% - Accent1" xfId="146" builtinId="30" customBuiltin="1"/>
    <cellStyle name="20% - Accent1 2" xfId="262"/>
    <cellStyle name="20% - Accent2" xfId="150" builtinId="34" customBuiltin="1"/>
    <cellStyle name="20% - Accent2 2" xfId="264"/>
    <cellStyle name="20% - Accent3" xfId="154" builtinId="38" customBuiltin="1"/>
    <cellStyle name="20% - Accent3 2" xfId="266"/>
    <cellStyle name="20% - Accent4" xfId="158" builtinId="42" customBuiltin="1"/>
    <cellStyle name="20% - Accent4 2" xfId="268"/>
    <cellStyle name="20% - Accent5" xfId="162" builtinId="46" customBuiltin="1"/>
    <cellStyle name="20% - Accent5 2" xfId="270"/>
    <cellStyle name="20% - Accent6" xfId="166" builtinId="50" customBuiltin="1"/>
    <cellStyle name="20% - Accent6 2" xfId="272"/>
    <cellStyle name="40% - Accent1" xfId="147" builtinId="31" customBuiltin="1"/>
    <cellStyle name="40% - Accent1 2" xfId="263"/>
    <cellStyle name="40% - Accent2" xfId="151" builtinId="35" customBuiltin="1"/>
    <cellStyle name="40% - Accent2 2" xfId="265"/>
    <cellStyle name="40% - Accent3" xfId="155" builtinId="39" customBuiltin="1"/>
    <cellStyle name="40% - Accent3 2" xfId="267"/>
    <cellStyle name="40% - Accent4" xfId="159" builtinId="43" customBuiltin="1"/>
    <cellStyle name="40% - Accent4 2" xfId="269"/>
    <cellStyle name="40% - Accent5" xfId="163" builtinId="47" customBuiltin="1"/>
    <cellStyle name="40% - Accent5 2" xfId="271"/>
    <cellStyle name="40% - Accent6" xfId="167" builtinId="51" customBuiltin="1"/>
    <cellStyle name="40% - Accent6 2" xfId="273"/>
    <cellStyle name="60% - Accent1" xfId="148" builtinId="32" customBuiltin="1"/>
    <cellStyle name="60% - Accent2" xfId="152" builtinId="36" customBuiltin="1"/>
    <cellStyle name="60% - Accent3" xfId="156" builtinId="40" customBuiltin="1"/>
    <cellStyle name="60% - Accent4" xfId="160" builtinId="44" customBuiltin="1"/>
    <cellStyle name="60% - Accent5" xfId="164" builtinId="48" customBuiltin="1"/>
    <cellStyle name="60% - Accent6" xfId="168" builtinId="52" customBuiltin="1"/>
    <cellStyle name="Accent1" xfId="145" builtinId="29" customBuiltin="1"/>
    <cellStyle name="Accent2" xfId="149" builtinId="33" customBuiltin="1"/>
    <cellStyle name="Accent3" xfId="153" builtinId="37" customBuiltin="1"/>
    <cellStyle name="Accent4" xfId="157" builtinId="41" customBuiltin="1"/>
    <cellStyle name="Accent5" xfId="161" builtinId="45" customBuiltin="1"/>
    <cellStyle name="Accent6" xfId="165" builtinId="49" customBuiltin="1"/>
    <cellStyle name="Bad" xfId="135" builtinId="27" customBuiltin="1"/>
    <cellStyle name="Calculation" xfId="139" builtinId="22" customBuiltin="1"/>
    <cellStyle name="Check Cell" xfId="141" builtinId="23" customBuiltin="1"/>
    <cellStyle name="Comma" xfId="5" builtinId="3"/>
    <cellStyle name="Comma 2" xfId="6"/>
    <cellStyle name="Comma 2 2" xfId="7"/>
    <cellStyle name="Comma 2 2 2" xfId="176"/>
    <cellStyle name="Comma 2 3" xfId="173"/>
    <cellStyle name="Comma 3" xfId="177"/>
    <cellStyle name="Comma 3 2" xfId="178"/>
    <cellStyle name="Comma 4" xfId="179"/>
    <cellStyle name="Comma 4 2" xfId="180"/>
    <cellStyle name="Comma 5" xfId="181"/>
    <cellStyle name="Comma 6" xfId="182"/>
    <cellStyle name="Comma 7" xfId="257"/>
    <cellStyle name="Comma 8" xfId="283"/>
    <cellStyle name="Comma 9" xfId="328"/>
    <cellStyle name="Currency" xfId="8" builtinId="4"/>
    <cellStyle name="Currency [2]_Excel Master" xfId="9"/>
    <cellStyle name="Currency 10" xfId="246"/>
    <cellStyle name="Currency 11" xfId="281"/>
    <cellStyle name="Currency 12" xfId="285"/>
    <cellStyle name="Currency 13" xfId="326"/>
    <cellStyle name="Currency 14" xfId="329"/>
    <cellStyle name="Currency 2" xfId="10"/>
    <cellStyle name="Currency 2 2" xfId="11"/>
    <cellStyle name="Currency 2 2 2" xfId="184"/>
    <cellStyle name="Currency 2 3" xfId="183"/>
    <cellStyle name="Currency 3" xfId="12"/>
    <cellStyle name="Currency 3 2" xfId="186"/>
    <cellStyle name="Currency 3 3" xfId="185"/>
    <cellStyle name="Currency 4" xfId="13"/>
    <cellStyle name="Currency 4 2" xfId="187"/>
    <cellStyle name="Currency 5" xfId="14"/>
    <cellStyle name="Currency 6" xfId="15"/>
    <cellStyle name="Currency 7" xfId="16"/>
    <cellStyle name="Currency 8" xfId="17"/>
    <cellStyle name="Currency 9" xfId="18"/>
    <cellStyle name="Explanatory Text" xfId="143" builtinId="53" customBuiltin="1"/>
    <cellStyle name="Good" xfId="134" builtinId="26" customBuiltin="1"/>
    <cellStyle name="Header1" xfId="19"/>
    <cellStyle name="Header1 2" xfId="20"/>
    <cellStyle name="Header1 3" xfId="21"/>
    <cellStyle name="Header2" xfId="22"/>
    <cellStyle name="Header2 2" xfId="23"/>
    <cellStyle name="Header2 3" xfId="24"/>
    <cellStyle name="Heading 1" xfId="130" builtinId="16" customBuiltin="1"/>
    <cellStyle name="Heading 2" xfId="131" builtinId="17" customBuiltin="1"/>
    <cellStyle name="Heading 3" xfId="132" builtinId="18" customBuiltin="1"/>
    <cellStyle name="Heading 4" xfId="133" builtinId="19" customBuiltin="1"/>
    <cellStyle name="Hyperlink" xfId="25" builtinId="8"/>
    <cellStyle name="Hyperlink 2" xfId="26"/>
    <cellStyle name="Input" xfId="137" builtinId="20" customBuiltin="1"/>
    <cellStyle name="Linked Cell" xfId="140" builtinId="24" customBuiltin="1"/>
    <cellStyle name="Neutral" xfId="136" builtinId="28" customBuiltin="1"/>
    <cellStyle name="no dec" xfId="27"/>
    <cellStyle name="no dec 2" xfId="28"/>
    <cellStyle name="Normal" xfId="0" builtinId="0"/>
    <cellStyle name="Normal - Style1" xfId="29"/>
    <cellStyle name="Normal - Style1 2" xfId="30"/>
    <cellStyle name="Normal - Style1 3" xfId="31"/>
    <cellStyle name="Normal - Style1 4" xfId="32"/>
    <cellStyle name="Normal - Style1 5" xfId="249"/>
    <cellStyle name="Normal - Style2" xfId="250"/>
    <cellStyle name="Normal - Style3" xfId="251"/>
    <cellStyle name="Normal - Style4" xfId="252"/>
    <cellStyle name="Normal - Style5" xfId="253"/>
    <cellStyle name="Normal - Style6" xfId="254"/>
    <cellStyle name="Normal - Style7" xfId="255"/>
    <cellStyle name="Normal - Style8" xfId="256"/>
    <cellStyle name="Normal 10" xfId="33"/>
    <cellStyle name="Normal 10 2" xfId="188"/>
    <cellStyle name="Normal 100" xfId="288"/>
    <cellStyle name="Normal 101" xfId="289"/>
    <cellStyle name="Normal 102" xfId="297"/>
    <cellStyle name="Normal 103" xfId="298"/>
    <cellStyle name="Normal 104" xfId="299"/>
    <cellStyle name="Normal 105" xfId="300"/>
    <cellStyle name="Normal 106" xfId="301"/>
    <cellStyle name="Normal 107" xfId="302"/>
    <cellStyle name="Normal 108" xfId="303"/>
    <cellStyle name="Normal 109" xfId="304"/>
    <cellStyle name="Normal 11" xfId="34"/>
    <cellStyle name="Normal 11 2" xfId="189"/>
    <cellStyle name="Normal 11 3" xfId="274"/>
    <cellStyle name="Normal 110" xfId="305"/>
    <cellStyle name="Normal 111" xfId="306"/>
    <cellStyle name="Normal 112" xfId="307"/>
    <cellStyle name="Normal 113" xfId="308"/>
    <cellStyle name="Normal 114" xfId="309"/>
    <cellStyle name="Normal 115" xfId="290"/>
    <cellStyle name="Normal 116" xfId="291"/>
    <cellStyle name="Normal 117" xfId="310"/>
    <cellStyle name="Normal 118" xfId="311"/>
    <cellStyle name="Normal 119" xfId="292"/>
    <cellStyle name="Normal 12" xfId="35"/>
    <cellStyle name="Normal 12 2" xfId="190"/>
    <cellStyle name="Normal 120" xfId="293"/>
    <cellStyle name="Normal 121" xfId="294"/>
    <cellStyle name="Normal 122" xfId="312"/>
    <cellStyle name="Normal 123" xfId="295"/>
    <cellStyle name="Normal 124" xfId="313"/>
    <cellStyle name="Normal 125" xfId="296"/>
    <cellStyle name="Normal 126" xfId="325"/>
    <cellStyle name="Normal 127" xfId="327"/>
    <cellStyle name="Normal 128" xfId="330"/>
    <cellStyle name="Normal 13" xfId="36"/>
    <cellStyle name="Normal 13 2" xfId="191"/>
    <cellStyle name="Normal 13 3" xfId="275"/>
    <cellStyle name="Normal 14" xfId="37"/>
    <cellStyle name="Normal 14 2" xfId="192"/>
    <cellStyle name="Normal 14 3" xfId="276"/>
    <cellStyle name="Normal 15" xfId="38"/>
    <cellStyle name="Normal 15 2" xfId="193"/>
    <cellStyle name="Normal 16" xfId="39"/>
    <cellStyle name="Normal 16 2" xfId="194"/>
    <cellStyle name="Normal 17" xfId="40"/>
    <cellStyle name="Normal 17 2" xfId="195"/>
    <cellStyle name="Normal 18" xfId="41"/>
    <cellStyle name="Normal 18 2" xfId="258"/>
    <cellStyle name="Normal 18 3" xfId="248"/>
    <cellStyle name="Normal 19" xfId="42"/>
    <cellStyle name="Normal 2" xfId="43"/>
    <cellStyle name="Normal 2 2" xfId="196"/>
    <cellStyle name="Normal 2 3" xfId="197"/>
    <cellStyle name="Normal 2 4" xfId="174"/>
    <cellStyle name="Normal 20" xfId="44"/>
    <cellStyle name="Normal 20 2" xfId="198"/>
    <cellStyle name="Normal 21" xfId="45"/>
    <cellStyle name="Normal 21 2" xfId="199"/>
    <cellStyle name="Normal 22" xfId="46"/>
    <cellStyle name="Normal 23" xfId="47"/>
    <cellStyle name="Normal 24" xfId="48"/>
    <cellStyle name="Normal 25" xfId="49"/>
    <cellStyle name="Normal 26" xfId="50"/>
    <cellStyle name="Normal 27" xfId="51"/>
    <cellStyle name="Normal 28" xfId="52"/>
    <cellStyle name="Normal 29" xfId="53"/>
    <cellStyle name="Normal 3" xfId="54"/>
    <cellStyle name="Normal 3 2" xfId="201"/>
    <cellStyle name="Normal 3 2 2" xfId="202"/>
    <cellStyle name="Normal 3 3" xfId="203"/>
    <cellStyle name="Normal 3 4" xfId="204"/>
    <cellStyle name="Normal 3 5" xfId="200"/>
    <cellStyle name="Normal 30" xfId="55"/>
    <cellStyle name="Normal 31" xfId="56"/>
    <cellStyle name="Normal 32" xfId="57"/>
    <cellStyle name="Normal 33" xfId="58"/>
    <cellStyle name="Normal 34" xfId="59"/>
    <cellStyle name="Normal 35" xfId="60"/>
    <cellStyle name="Normal 36" xfId="61"/>
    <cellStyle name="Normal 37" xfId="62"/>
    <cellStyle name="Normal 38" xfId="63"/>
    <cellStyle name="Normal 39" xfId="64"/>
    <cellStyle name="Normal 4" xfId="65"/>
    <cellStyle name="Normal 4 10" xfId="277"/>
    <cellStyle name="Normal 4 2" xfId="206"/>
    <cellStyle name="Normal 4 2 2" xfId="207"/>
    <cellStyle name="Normal 4 3" xfId="208"/>
    <cellStyle name="Normal 4 3 2" xfId="209"/>
    <cellStyle name="Normal 4 4" xfId="210"/>
    <cellStyle name="Normal 4 4 2" xfId="211"/>
    <cellStyle name="Normal 4 5" xfId="212"/>
    <cellStyle name="Normal 4 6" xfId="213"/>
    <cellStyle name="Normal 4 7" xfId="214"/>
    <cellStyle name="Normal 4 7 2" xfId="278"/>
    <cellStyle name="Normal 4 8" xfId="215"/>
    <cellStyle name="Normal 4 9" xfId="205"/>
    <cellStyle name="Normal 40" xfId="66"/>
    <cellStyle name="Normal 41" xfId="67"/>
    <cellStyle name="Normal 42" xfId="68"/>
    <cellStyle name="Normal 43" xfId="69"/>
    <cellStyle name="Normal 44" xfId="70"/>
    <cellStyle name="Normal 45" xfId="71"/>
    <cellStyle name="Normal 46" xfId="72"/>
    <cellStyle name="Normal 47" xfId="73"/>
    <cellStyle name="Normal 48" xfId="74"/>
    <cellStyle name="Normal 49" xfId="75"/>
    <cellStyle name="Normal 5" xfId="76"/>
    <cellStyle name="Normal 5 2" xfId="217"/>
    <cellStyle name="Normal 5 2 2" xfId="218"/>
    <cellStyle name="Normal 5 3" xfId="219"/>
    <cellStyle name="Normal 5 3 2" xfId="220"/>
    <cellStyle name="Normal 5 4" xfId="221"/>
    <cellStyle name="Normal 5 4 2" xfId="222"/>
    <cellStyle name="Normal 5 5" xfId="223"/>
    <cellStyle name="Normal 5 6" xfId="216"/>
    <cellStyle name="Normal 50" xfId="77"/>
    <cellStyle name="Normal 51" xfId="78"/>
    <cellStyle name="Normal 52" xfId="79"/>
    <cellStyle name="Normal 53" xfId="80"/>
    <cellStyle name="Normal 54" xfId="81"/>
    <cellStyle name="Normal 55" xfId="82"/>
    <cellStyle name="Normal 56" xfId="83"/>
    <cellStyle name="Normal 57" xfId="84"/>
    <cellStyle name="Normal 58" xfId="85"/>
    <cellStyle name="Normal 59" xfId="86"/>
    <cellStyle name="Normal 6" xfId="87"/>
    <cellStyle name="Normal 6 2" xfId="225"/>
    <cellStyle name="Normal 6 3" xfId="224"/>
    <cellStyle name="Normal 60" xfId="88"/>
    <cellStyle name="Normal 61" xfId="89"/>
    <cellStyle name="Normal 62" xfId="90"/>
    <cellStyle name="Normal 63" xfId="91"/>
    <cellStyle name="Normal 64" xfId="92"/>
    <cellStyle name="Normal 65" xfId="93"/>
    <cellStyle name="Normal 66" xfId="94"/>
    <cellStyle name="Normal 67" xfId="95"/>
    <cellStyle name="Normal 68" xfId="96"/>
    <cellStyle name="Normal 69" xfId="97"/>
    <cellStyle name="Normal 7" xfId="98"/>
    <cellStyle name="Normal 7 2" xfId="227"/>
    <cellStyle name="Normal 7 3" xfId="228"/>
    <cellStyle name="Normal 7 4" xfId="226"/>
    <cellStyle name="Normal 70" xfId="99"/>
    <cellStyle name="Normal 71" xfId="100"/>
    <cellStyle name="Normal 72" xfId="101"/>
    <cellStyle name="Normal 73" xfId="102"/>
    <cellStyle name="Normal 74" xfId="103"/>
    <cellStyle name="Normal 75" xfId="104"/>
    <cellStyle name="Normal 76" xfId="105"/>
    <cellStyle name="Normal 77" xfId="106"/>
    <cellStyle name="Normal 78" xfId="107"/>
    <cellStyle name="Normal 79" xfId="108"/>
    <cellStyle name="Normal 8" xfId="109"/>
    <cellStyle name="Normal 8 2" xfId="229"/>
    <cellStyle name="Normal 80" xfId="110"/>
    <cellStyle name="Normal 81" xfId="111"/>
    <cellStyle name="Normal 82" xfId="112"/>
    <cellStyle name="Normal 83" xfId="169"/>
    <cellStyle name="Normal 84" xfId="172"/>
    <cellStyle name="Normal 85" xfId="260"/>
    <cellStyle name="Normal 86" xfId="284"/>
    <cellStyle name="Normal 87" xfId="314"/>
    <cellStyle name="Normal 88" xfId="315"/>
    <cellStyle name="Normal 89" xfId="316"/>
    <cellStyle name="Normal 9" xfId="113"/>
    <cellStyle name="Normal 9 2" xfId="231"/>
    <cellStyle name="Normal 9 2 2" xfId="280"/>
    <cellStyle name="Normal 9 3" xfId="230"/>
    <cellStyle name="Normal 9 4" xfId="279"/>
    <cellStyle name="Normal 90" xfId="317"/>
    <cellStyle name="Normal 91" xfId="318"/>
    <cellStyle name="Normal 92" xfId="319"/>
    <cellStyle name="Normal 93" xfId="320"/>
    <cellStyle name="Normal 94" xfId="321"/>
    <cellStyle name="Normal 95" xfId="322"/>
    <cellStyle name="Normal 96" xfId="323"/>
    <cellStyle name="Normal 97" xfId="324"/>
    <cellStyle name="Normal 98" xfId="286"/>
    <cellStyle name="Normal 99" xfId="287"/>
    <cellStyle name="Note 2" xfId="171"/>
    <cellStyle name="Note 3" xfId="261"/>
    <cellStyle name="Output" xfId="138" builtinId="21" customBuiltin="1"/>
    <cellStyle name="Percent 2" xfId="114"/>
    <cellStyle name="Percent 2 2" xfId="232"/>
    <cellStyle name="Percent 2 3" xfId="175"/>
    <cellStyle name="Percent 3" xfId="233"/>
    <cellStyle name="Percent 3 2" xfId="234"/>
    <cellStyle name="Percent 4" xfId="235"/>
    <cellStyle name="Percent 5" xfId="236"/>
    <cellStyle name="Percent 6" xfId="259"/>
    <cellStyle name="Percent 7" xfId="247"/>
    <cellStyle name="Percent 8" xfId="282"/>
    <cellStyle name="PHIL" xfId="115"/>
    <cellStyle name="PHIL 2" xfId="116"/>
    <cellStyle name="PHIL 3" xfId="117"/>
    <cellStyle name="PHIL 4" xfId="118"/>
    <cellStyle name="PROJLST" xfId="119"/>
    <cellStyle name="PROJLST 2" xfId="120"/>
    <cellStyle name="PROJLST 3" xfId="121"/>
    <cellStyle name="PROJLST 4" xfId="122"/>
    <cellStyle name="PSChar" xfId="123"/>
    <cellStyle name="PSChar 2" xfId="124"/>
    <cellStyle name="Style 1" xfId="125"/>
    <cellStyle name="Style 1 2" xfId="126"/>
    <cellStyle name="Style 1 3" xfId="127"/>
    <cellStyle name="Style 1 4" xfId="128"/>
    <cellStyle name="Title" xfId="129" builtinId="15" customBuiltin="1"/>
    <cellStyle name="Title 2" xfId="170"/>
    <cellStyle name="Total" xfId="144" builtinId="25" customBuiltin="1"/>
    <cellStyle name="VERIFY" xfId="237"/>
    <cellStyle name="VERIFY 2" xfId="238"/>
    <cellStyle name="VERIFY 3" xfId="239"/>
    <cellStyle name="VERIFY 4" xfId="240"/>
    <cellStyle name="VERIFY INFO" xfId="241"/>
    <cellStyle name="VERIFY INFO 2" xfId="242"/>
    <cellStyle name="VERIFY INFO 3" xfId="243"/>
    <cellStyle name="VERIFY INFO 4" xfId="244"/>
    <cellStyle name="VERIFY_8-16-09-AOPC Pt 03--Sch B" xfId="245"/>
    <cellStyle name="Warning Text" xfId="142" builtinId="11" customBuiltin="1"/>
  </cellStyles>
  <dxfs count="202">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b/>
        <i val="0"/>
      </font>
      <fill>
        <patternFill>
          <bgColor rgb="FF00FF00"/>
        </patternFill>
      </fill>
    </dxf>
    <dxf>
      <font>
        <b/>
        <i val="0"/>
        <color auto="1"/>
      </font>
      <fill>
        <patternFill>
          <bgColor rgb="FFFFFF00"/>
        </patternFill>
      </fill>
    </dxf>
    <dxf>
      <font>
        <condense val="0"/>
        <extend val="0"/>
        <color auto="1"/>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0095D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962025</xdr:colOff>
      <xdr:row>0</xdr:row>
      <xdr:rowOff>0</xdr:rowOff>
    </xdr:to>
    <xdr:pic>
      <xdr:nvPicPr>
        <xdr:cNvPr id="25815" name="Picture 1">
          <a:extLst>
            <a:ext uri="{FF2B5EF4-FFF2-40B4-BE49-F238E27FC236}">
              <a16:creationId xmlns:a16="http://schemas.microsoft.com/office/drawing/2014/main" xmlns="" id="{00000000-0008-0000-0100-0000D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81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19050</xdr:rowOff>
    </xdr:from>
    <xdr:to>
      <xdr:col>1</xdr:col>
      <xdr:colOff>1238250</xdr:colOff>
      <xdr:row>2</xdr:row>
      <xdr:rowOff>9525</xdr:rowOff>
    </xdr:to>
    <xdr:pic>
      <xdr:nvPicPr>
        <xdr:cNvPr id="25816" name="Picture 2" descr="SKANSKApms">
          <a:extLst>
            <a:ext uri="{FF2B5EF4-FFF2-40B4-BE49-F238E27FC236}">
              <a16:creationId xmlns:a16="http://schemas.microsoft.com/office/drawing/2014/main" xmlns="" id="{00000000-0008-0000-0100-0000D8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19050"/>
          <a:ext cx="1276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619125</xdr:colOff>
      <xdr:row>0</xdr:row>
      <xdr:rowOff>47625</xdr:rowOff>
    </xdr:from>
    <xdr:to>
      <xdr:col>7</xdr:col>
      <xdr:colOff>3324225</xdr:colOff>
      <xdr:row>1</xdr:row>
      <xdr:rowOff>180975</xdr:rowOff>
    </xdr:to>
    <xdr:pic>
      <xdr:nvPicPr>
        <xdr:cNvPr id="5740" name="Picture 1" descr="SKANSKA LOGO HI-RES CROPPED">
          <a:extLst>
            <a:ext uri="{FF2B5EF4-FFF2-40B4-BE49-F238E27FC236}">
              <a16:creationId xmlns:a16="http://schemas.microsoft.com/office/drawing/2014/main" xmlns="" id="{00000000-0008-0000-0200-00006C1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2075" y="47625"/>
          <a:ext cx="27051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876301</xdr:colOff>
      <xdr:row>0</xdr:row>
      <xdr:rowOff>219075</xdr:rowOff>
    </xdr:from>
    <xdr:to>
      <xdr:col>5</xdr:col>
      <xdr:colOff>771525</xdr:colOff>
      <xdr:row>2</xdr:row>
      <xdr:rowOff>90615</xdr:rowOff>
    </xdr:to>
    <xdr:pic>
      <xdr:nvPicPr>
        <xdr:cNvPr id="20061" name="Picture 3" descr="SKANSKApms">
          <a:extLst>
            <a:ext uri="{FF2B5EF4-FFF2-40B4-BE49-F238E27FC236}">
              <a16:creationId xmlns:a16="http://schemas.microsoft.com/office/drawing/2014/main" xmlns="" id="{00000000-0008-0000-0800-00005D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1626" y="219075"/>
          <a:ext cx="1076324" cy="290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Todd.Predmore/Local%20Settings/Temporary%20Internet%20Files/OLK3/Estimating/Shared%20Resources/Estimate%20Kit/Estimate%20Templates_Updated%203-99/By%201998%20CSI%20UniFormat06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nnasfps01\Common_Nashville\Project_Data_Nashville\2513020_Williamson%20Medical%20Center\2.%20Preconstruction\2.%20Schematic\Estimating\WMC%20Cost%20Model%2006-12-20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dows/TEMP/SampleUNI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TEMP\kegcform.GM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indows/TEMP/Salem%20Hospital%20-%20SD%20walls,finishes,%20etc(June%20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JUICE\STMARYS\COSTMO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roject_Data_Atlanta/Higher%20Education/Ga%20Tech/The%20Living%20Building/10%20Precon/1010%20Cost%20Model-Budgets-Estimates/Design%20Development%20-%2050%25/Deductive%20Alternates%20WORKING%20VERSIO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bob.kovacs/AppData/Local/Microsoft/Windows/Temporary%20Internet%20Files/Content.Outlook/690PO0MX/VE%20List%20with%20Comme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timating/Shared%20Resources/Estimate%20Kit/Estimate%20Templates_Updated%203-99/By%201998%20CSI%20UniFormat06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wooley/Local%20Settings/Temporary%20Internet%20Files/OLK3/Southeast%20Alabama%20Medical%20Center/Women's%20Center/MSOFFICE/EXCEL/STUDENT/STUDENT.XLW"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eCon_Beaverton/2)%20Bids%20&amp;%20Estimates/Service%20Estimates/2013%20Service%20Estimates/Childrens%20Center/Childrens%20Center%20RFP%20Est%20Summar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Estimating\Estimating%20Group(internal)\Historical%20Cost%20Tracking\Subcontracted%20Cost%20Data\36%20Picks%20-%20Unit%20Ra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indows/TEMP/SH%20Estimate%20Interior%20Pck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ont1\group-shares\Estimating\Estimating%20Group\Jobs\Precon%20Jobs\Park%20Place\Park%20Place%20Quantiti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indows/TEMP/Uniformat%20Master%20Template%20KM%20(Jan%2023%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Estimating\Health\Tampa%20General%20Hospital\Tampa%20General%2050%25CD\TGH%2050%25%20CD%20Estimate%20with%20Site%20Subs%2010-18-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Backup"/>
      <sheetName val="1998 Uniformat"/>
      <sheetName val="Areas"/>
      <sheetName val="A"/>
      <sheetName val="B"/>
      <sheetName val="C"/>
      <sheetName val="D"/>
      <sheetName val="E"/>
      <sheetName val="G"/>
      <sheetName val="Features"/>
      <sheetName val="Value Eng."/>
    </sheetNames>
    <sheetDataSet>
      <sheetData sheetId="0"/>
      <sheetData sheetId="1"/>
      <sheetData sheetId="2"/>
      <sheetData sheetId="3">
        <row r="107">
          <cell r="K107">
            <v>218358</v>
          </cell>
        </row>
      </sheetData>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Hospital"/>
      <sheetName val="MOB Shell &amp; Core"/>
      <sheetName val="MOB Admin Build Out"/>
      <sheetName val="MOB Diagnostic Build Out"/>
      <sheetName val="General Information"/>
      <sheetName val="Total Project Summary"/>
      <sheetName val="Sitework Detail"/>
      <sheetName val="Skin Requirements"/>
      <sheetName val="Department Types"/>
      <sheetName val="Order of Mag"/>
      <sheetName val="Major Item Code"/>
      <sheetName val="Historical Costs"/>
      <sheetName val="Major Summary"/>
      <sheetName val="Minor Summary"/>
      <sheetName val="Executive Summary"/>
      <sheetName val="Total Project"/>
      <sheetName val="Total Project (dept)"/>
      <sheetName val="New Const (dept)"/>
      <sheetName val="New (0)"/>
      <sheetName val="Major Reno (dept)"/>
      <sheetName val="Minor Reno (dept)"/>
      <sheetName val="Sitework"/>
      <sheetName val="New Const"/>
      <sheetName val="Major Reno"/>
      <sheetName val="Minor Reno"/>
      <sheetName val="New (1)"/>
      <sheetName val="New (2)"/>
      <sheetName val="New (3)"/>
      <sheetName val="New (4)"/>
      <sheetName val="New (5)"/>
      <sheetName val="New (6)"/>
      <sheetName val="New (7)"/>
      <sheetName val="New (8)"/>
      <sheetName val="New (9)"/>
      <sheetName val="New (10)"/>
      <sheetName val="New (11)"/>
      <sheetName val="New (12)"/>
      <sheetName val="New (13)"/>
      <sheetName val="New (14)"/>
      <sheetName val="New (15)"/>
      <sheetName val="New (16)"/>
      <sheetName val="New (17)"/>
      <sheetName val="New (18)"/>
      <sheetName val="New (19)"/>
      <sheetName val="New (20)"/>
      <sheetName val="New (21)"/>
      <sheetName val="New (22)"/>
      <sheetName val="New (23)"/>
      <sheetName val="New (24)"/>
      <sheetName val="New (25)"/>
      <sheetName val="New (26)"/>
      <sheetName val="New (27)"/>
      <sheetName val="New (28)"/>
      <sheetName val="New (29)"/>
      <sheetName val="New (30)"/>
      <sheetName val="New (31)"/>
      <sheetName val="New (32)"/>
      <sheetName val="New (33)"/>
      <sheetName val="New (34)"/>
      <sheetName val="New (35)"/>
      <sheetName val="New (36)"/>
      <sheetName val="New (37)"/>
      <sheetName val="New (38)"/>
      <sheetName val="New (39)"/>
      <sheetName val="New (40)"/>
      <sheetName val="New (41)"/>
      <sheetName val="New (42)"/>
      <sheetName val="New (43)"/>
      <sheetName val="New (44)"/>
      <sheetName val="New (45)"/>
      <sheetName val="New (46)"/>
      <sheetName val="New (47)"/>
      <sheetName val="New (48)"/>
      <sheetName val="New (49)"/>
      <sheetName val="New (50)"/>
      <sheetName val="New (51)"/>
      <sheetName val="New (52)"/>
      <sheetName val="New (53)"/>
      <sheetName val="New (54)"/>
      <sheetName val="New (55)"/>
      <sheetName val="New (56)"/>
      <sheetName val="New (57)"/>
      <sheetName val="New (58)"/>
      <sheetName val="New (59)"/>
      <sheetName val="New (60)"/>
      <sheetName val="Major (1)"/>
      <sheetName val="Major (2)"/>
      <sheetName val="Major (3)"/>
      <sheetName val="Major (4)"/>
      <sheetName val="Major (5)"/>
      <sheetName val="Major (6)"/>
      <sheetName val="Major (7)"/>
      <sheetName val="Major (8)"/>
      <sheetName val="Major (9)"/>
      <sheetName val="Major (10)"/>
      <sheetName val="Major (11)"/>
      <sheetName val="Major (12)"/>
      <sheetName val="Major (13)"/>
      <sheetName val="Major (14)"/>
      <sheetName val="Major (15)"/>
      <sheetName val="Major (16)"/>
      <sheetName val="Major (17)"/>
      <sheetName val="Major (18)"/>
      <sheetName val="Major (19)"/>
      <sheetName val="Major (20)"/>
      <sheetName val="Major (21)"/>
      <sheetName val="Major (22)"/>
      <sheetName val="Major (23)"/>
      <sheetName val="Major (24)"/>
      <sheetName val="Major (25)"/>
      <sheetName val="Major (26)"/>
      <sheetName val="Major (27)"/>
      <sheetName val="Major (28)"/>
      <sheetName val="Major (29)"/>
      <sheetName val="Major (30)"/>
      <sheetName val="Major (31)"/>
      <sheetName val="Major (32)"/>
      <sheetName val="Major (33)"/>
      <sheetName val="Major (34)"/>
      <sheetName val="Major (35)"/>
      <sheetName val="Major (36)"/>
      <sheetName val="Major (37)"/>
      <sheetName val="Major (38)"/>
      <sheetName val="Major (39)"/>
      <sheetName val="Major (40)"/>
      <sheetName val="Major (41)"/>
      <sheetName val="Major (42)"/>
      <sheetName val="Major (44)"/>
      <sheetName val="Major (43)"/>
      <sheetName val="Major (45)"/>
      <sheetName val="Major (46)"/>
      <sheetName val="Major (47)"/>
      <sheetName val="Major (48)"/>
      <sheetName val="Major (49)"/>
      <sheetName val="Major (50)"/>
      <sheetName val="Major (51)"/>
      <sheetName val="Major (52)"/>
      <sheetName val="Major (53)"/>
      <sheetName val="Major (54)"/>
      <sheetName val="Major (55)"/>
      <sheetName val="Major (56)"/>
      <sheetName val="Major (57)"/>
      <sheetName val="Major (58)"/>
      <sheetName val="Major (59)"/>
      <sheetName val="Major (60)"/>
      <sheetName val="Minor (1)"/>
      <sheetName val="Minor (2)"/>
      <sheetName val="Minor (3)"/>
      <sheetName val="Minor (4)"/>
      <sheetName val="Minor (5)"/>
      <sheetName val="Minor (6)"/>
      <sheetName val="Minor (7)"/>
      <sheetName val="Minor (8)"/>
      <sheetName val="Minor (9)"/>
      <sheetName val="Minor (10)"/>
      <sheetName val="Minor (11)"/>
      <sheetName val="Minor (12)"/>
      <sheetName val="Minor (13)"/>
      <sheetName val="Minor (14)"/>
      <sheetName val="Minor (15)"/>
      <sheetName val="Minor (16)"/>
      <sheetName val="Minor (17)"/>
      <sheetName val="Minor (18)"/>
      <sheetName val="Minor (19)"/>
      <sheetName val="Minor (20)"/>
      <sheetName val="Minor (21)"/>
      <sheetName val="Minor (22)"/>
      <sheetName val="Minor (23)"/>
      <sheetName val="Minor (24)"/>
      <sheetName val="Minor (25)"/>
      <sheetName val="Minor (26)"/>
      <sheetName val="Minor (27)"/>
      <sheetName val="Minor (28)"/>
      <sheetName val="Minor (29)"/>
      <sheetName val="Minor (30)"/>
      <sheetName val="Minor (31)"/>
      <sheetName val="Minor (32)"/>
      <sheetName val="Minor (33)"/>
      <sheetName val="Minor (34)"/>
      <sheetName val="Minor (35)"/>
      <sheetName val="Minor (36)"/>
      <sheetName val="Minor (37)"/>
      <sheetName val="Minor (38)"/>
      <sheetName val="Minor (39)"/>
      <sheetName val="Minor (40)"/>
      <sheetName val="Minor (41)"/>
      <sheetName val="Minor (42)"/>
      <sheetName val="Minor (43)"/>
      <sheetName val="Minor (44)"/>
      <sheetName val="Minor (45)"/>
      <sheetName val="Minor (46)"/>
      <sheetName val="Minor (47)"/>
      <sheetName val="Minor (48)"/>
      <sheetName val="Minor (49)"/>
      <sheetName val="Minor (50)"/>
      <sheetName val="Minor (51)"/>
      <sheetName val="Minor (52)"/>
      <sheetName val="Minor (53)"/>
      <sheetName val="Minor (54)"/>
      <sheetName val="Minor (55)"/>
      <sheetName val="Minor (56)"/>
      <sheetName val="Minor (57)"/>
      <sheetName val="Minor (58)"/>
      <sheetName val="Minor (59)"/>
      <sheetName val="Minor (60)"/>
      <sheetName val="Major (0)"/>
      <sheetName val="Minor (0)"/>
    </sheetNames>
    <sheetDataSet>
      <sheetData sheetId="0"/>
      <sheetData sheetId="1"/>
      <sheetData sheetId="2"/>
      <sheetData sheetId="3"/>
      <sheetData sheetId="4"/>
      <sheetData sheetId="5"/>
      <sheetData sheetId="6"/>
      <sheetData sheetId="7"/>
      <sheetData sheetId="8"/>
      <sheetData sheetId="9">
        <row r="2">
          <cell r="B2" t="str">
            <v>_***Departmental Type***</v>
          </cell>
        </row>
        <row r="3">
          <cell r="B3" t="str">
            <v>Administration</v>
          </cell>
        </row>
        <row r="4">
          <cell r="B4" t="str">
            <v>Admitting</v>
          </cell>
        </row>
        <row r="5">
          <cell r="B5" t="str">
            <v>Ambulatory Surgery Center</v>
          </cell>
        </row>
        <row r="6">
          <cell r="B6" t="str">
            <v>Antepartum/GYN</v>
          </cell>
        </row>
        <row r="7">
          <cell r="B7" t="str">
            <v>Atrium (Double Story)</v>
          </cell>
        </row>
        <row r="8">
          <cell r="B8" t="str">
            <v>Atrium (Single Story)</v>
          </cell>
        </row>
        <row r="9">
          <cell r="B9" t="str">
            <v>Biomedical Engineering</v>
          </cell>
        </row>
        <row r="10">
          <cell r="B10" t="str">
            <v>Canopies (Full Area)</v>
          </cell>
        </row>
        <row r="11">
          <cell r="B11" t="str">
            <v>Cardiopulmonary - stress, EKG, etc. (Non-Invasive)</v>
          </cell>
        </row>
        <row r="12">
          <cell r="B12" t="str">
            <v>Cardiovascular ICU</v>
          </cell>
        </row>
        <row r="13">
          <cell r="B13" t="str">
            <v>Cath Lab</v>
          </cell>
        </row>
        <row r="14">
          <cell r="B14" t="str">
            <v>Cental Energy Plant (Powerhouse)</v>
          </cell>
        </row>
        <row r="15">
          <cell r="B15" t="str">
            <v>Central Nurses Station</v>
          </cell>
        </row>
        <row r="16">
          <cell r="B16" t="str">
            <v>Central Sterile Services</v>
          </cell>
        </row>
        <row r="17">
          <cell r="B17" t="str">
            <v>Chapel</v>
          </cell>
        </row>
        <row r="18">
          <cell r="B18" t="str">
            <v>Chemotherapy</v>
          </cell>
        </row>
        <row r="19">
          <cell r="B19" t="str">
            <v>Communication Systems</v>
          </cell>
        </row>
        <row r="20">
          <cell r="B20" t="str">
            <v>Connector (Elevated)</v>
          </cell>
        </row>
        <row r="21">
          <cell r="B21" t="str">
            <v>Connector (Ground)</v>
          </cell>
        </row>
        <row r="22">
          <cell r="B22" t="str">
            <v>Connector (Roof)</v>
          </cell>
        </row>
        <row r="23">
          <cell r="B23" t="str">
            <v>Coronary Care Unit</v>
          </cell>
        </row>
        <row r="24">
          <cell r="B24" t="str">
            <v>Corridor Circulation Space</v>
          </cell>
        </row>
        <row r="25">
          <cell r="B25" t="str">
            <v>C-Section O.R.</v>
          </cell>
        </row>
        <row r="26">
          <cell r="B26" t="str">
            <v>CT Skan</v>
          </cell>
        </row>
        <row r="27">
          <cell r="B27" t="str">
            <v>Dialysis</v>
          </cell>
        </row>
        <row r="28">
          <cell r="B28" t="str">
            <v>Dining Area (Dietary)</v>
          </cell>
        </row>
        <row r="29">
          <cell r="B29" t="str">
            <v>Education / Conference Center</v>
          </cell>
        </row>
        <row r="30">
          <cell r="B30" t="str">
            <v>Emergency Department</v>
          </cell>
        </row>
        <row r="31">
          <cell r="B31" t="str">
            <v>Emergency Services</v>
          </cell>
        </row>
        <row r="32">
          <cell r="B32" t="str">
            <v>Endoscopy</v>
          </cell>
        </row>
        <row r="33">
          <cell r="B33" t="str">
            <v>Flouroscopy</v>
          </cell>
        </row>
        <row r="34">
          <cell r="B34" t="str">
            <v>Food / Dietary Services</v>
          </cell>
        </row>
        <row r="35">
          <cell r="B35" t="str">
            <v>Gift Shop</v>
          </cell>
        </row>
        <row r="36">
          <cell r="B36" t="str">
            <v>Heavy Diagnostics</v>
          </cell>
        </row>
        <row r="37">
          <cell r="B37" t="str">
            <v>Housekeeping &amp; Environmental Services</v>
          </cell>
        </row>
        <row r="38">
          <cell r="B38" t="str">
            <v>Human Resources</v>
          </cell>
        </row>
        <row r="39">
          <cell r="B39" t="str">
            <v>ICU</v>
          </cell>
        </row>
        <row r="40">
          <cell r="B40" t="str">
            <v>Intermediate Care (Step Down)</v>
          </cell>
        </row>
        <row r="41">
          <cell r="B41" t="str">
            <v>ITS, Computer &amp; Data Room</v>
          </cell>
        </row>
        <row r="42">
          <cell r="B42" t="str">
            <v>Kitchen (No Equipment)</v>
          </cell>
        </row>
        <row r="43">
          <cell r="B43" t="str">
            <v>Laboratory</v>
          </cell>
        </row>
        <row r="44">
          <cell r="B44" t="str">
            <v>Laundry (No Equipment)</v>
          </cell>
        </row>
        <row r="45">
          <cell r="B45" t="str">
            <v>LDR's (Labor, Delivery, &amp; Recovery)</v>
          </cell>
        </row>
        <row r="46">
          <cell r="B46" t="str">
            <v>Light Diagnostics</v>
          </cell>
        </row>
        <row r="47">
          <cell r="B47" t="str">
            <v>Linear Accelerator</v>
          </cell>
        </row>
        <row r="48">
          <cell r="B48" t="str">
            <v>Loading Dock</v>
          </cell>
        </row>
        <row r="49">
          <cell r="B49" t="str">
            <v>Lobby</v>
          </cell>
        </row>
        <row r="50">
          <cell r="B50" t="str">
            <v>Maintenance &amp; Engineering</v>
          </cell>
        </row>
        <row r="51">
          <cell r="B51" t="str">
            <v>Mammography</v>
          </cell>
        </row>
        <row r="52">
          <cell r="B52" t="str">
            <v>Materials Management / General Stores</v>
          </cell>
        </row>
        <row r="53">
          <cell r="B53" t="str">
            <v>Mechanical / Electrical</v>
          </cell>
        </row>
        <row r="54">
          <cell r="B54" t="str">
            <v>Med/Surg Patient Area</v>
          </cell>
        </row>
        <row r="55">
          <cell r="B55" t="str">
            <v>Medical Oncology</v>
          </cell>
        </row>
        <row r="56">
          <cell r="B56" t="str">
            <v>Medical Records</v>
          </cell>
        </row>
        <row r="57">
          <cell r="B57" t="str">
            <v>MOB (Build Out)</v>
          </cell>
        </row>
        <row r="58">
          <cell r="B58" t="str">
            <v>Morgue</v>
          </cell>
        </row>
        <row r="59">
          <cell r="B59" t="str">
            <v>MRI</v>
          </cell>
        </row>
        <row r="60">
          <cell r="B60" t="str">
            <v>NICU</v>
          </cell>
        </row>
        <row r="61">
          <cell r="B61" t="str">
            <v>Nuclear Medicine</v>
          </cell>
        </row>
        <row r="62">
          <cell r="B62" t="str">
            <v>Nursery - Normal Newborn</v>
          </cell>
        </row>
        <row r="63">
          <cell r="B63" t="str">
            <v>Observation Unit</v>
          </cell>
        </row>
        <row r="64">
          <cell r="B64" t="str">
            <v>Offices</v>
          </cell>
        </row>
        <row r="65">
          <cell r="B65" t="str">
            <v>Open Heart OR</v>
          </cell>
        </row>
        <row r="66">
          <cell r="B66" t="str">
            <v>Operating Suite</v>
          </cell>
        </row>
        <row r="67">
          <cell r="B67" t="str">
            <v>Pediatrics</v>
          </cell>
        </row>
        <row r="68">
          <cell r="B68" t="str">
            <v>Penthouses</v>
          </cell>
        </row>
        <row r="69">
          <cell r="B69" t="str">
            <v>PET Scan</v>
          </cell>
        </row>
        <row r="70">
          <cell r="B70" t="str">
            <v>Pharmacy</v>
          </cell>
        </row>
        <row r="71">
          <cell r="B71" t="str">
            <v>Physical Therapy</v>
          </cell>
        </row>
        <row r="72">
          <cell r="B72" t="str">
            <v>Post-Partum Rooms</v>
          </cell>
        </row>
        <row r="73">
          <cell r="B73" t="str">
            <v>Pre-Op, Recovery, &amp; Perioperative</v>
          </cell>
        </row>
        <row r="74">
          <cell r="B74" t="str">
            <v>Psychiatric</v>
          </cell>
        </row>
        <row r="75">
          <cell r="B75" t="str">
            <v>Radiation Oncology</v>
          </cell>
        </row>
        <row r="76">
          <cell r="B76" t="str">
            <v>Radiology - Diagnostic</v>
          </cell>
        </row>
        <row r="77">
          <cell r="B77" t="str">
            <v>Recovery - PACU</v>
          </cell>
        </row>
        <row r="78">
          <cell r="B78" t="str">
            <v>Registration</v>
          </cell>
        </row>
        <row r="79">
          <cell r="B79" t="str">
            <v>Respiratory Therapy</v>
          </cell>
        </row>
        <row r="80">
          <cell r="B80" t="str">
            <v>Servery (Dietary)</v>
          </cell>
        </row>
        <row r="81">
          <cell r="B81" t="str">
            <v>Shell (Hospital Deduct)</v>
          </cell>
        </row>
        <row r="82">
          <cell r="B82" t="str">
            <v>Shell (Hospital)</v>
          </cell>
        </row>
        <row r="83">
          <cell r="B83" t="str">
            <v>Shell (MOB Deduct)</v>
          </cell>
        </row>
        <row r="84">
          <cell r="B84" t="str">
            <v>Shell (MOB)</v>
          </cell>
        </row>
        <row r="85">
          <cell r="B85" t="str">
            <v>Sitework</v>
          </cell>
        </row>
        <row r="86">
          <cell r="B86" t="str">
            <v>Sleep Lab</v>
          </cell>
        </row>
        <row r="87">
          <cell r="B87" t="str">
            <v>Staff Offices</v>
          </cell>
        </row>
        <row r="88">
          <cell r="B88" t="str">
            <v>Surgery (General)</v>
          </cell>
        </row>
        <row r="89">
          <cell r="B89" t="str">
            <v>Telemetry</v>
          </cell>
        </row>
        <row r="90">
          <cell r="B90" t="str">
            <v>Ultrasound</v>
          </cell>
        </row>
        <row r="91">
          <cell r="B91" t="str">
            <v>Z. Blank Dept. #01</v>
          </cell>
        </row>
        <row r="92">
          <cell r="B92" t="str">
            <v>Z. Blank Dept. #02</v>
          </cell>
        </row>
        <row r="93">
          <cell r="B93" t="str">
            <v>Z. Blank Dept. #03</v>
          </cell>
        </row>
        <row r="94">
          <cell r="B94" t="str">
            <v>Z. Blank Dept. #04</v>
          </cell>
        </row>
        <row r="95">
          <cell r="B95" t="str">
            <v>Z. Blank Dept. #05</v>
          </cell>
        </row>
        <row r="96">
          <cell r="B96" t="str">
            <v>Z. Blank Dept. #06</v>
          </cell>
        </row>
        <row r="97">
          <cell r="B97" t="str">
            <v>Z. Blank Dept. #07</v>
          </cell>
        </row>
        <row r="98">
          <cell r="B98" t="str">
            <v>Z. Blank Dept. #08</v>
          </cell>
        </row>
        <row r="99">
          <cell r="B99" t="str">
            <v>Z. Blank Dept. #09</v>
          </cell>
        </row>
        <row r="100">
          <cell r="B100" t="str">
            <v>Z. Blank Dept. #10</v>
          </cell>
        </row>
        <row r="101">
          <cell r="B101" t="str">
            <v>Z. Blank Dept. #11</v>
          </cell>
        </row>
        <row r="102">
          <cell r="B102" t="str">
            <v>Z. Blank Dept. #12</v>
          </cell>
        </row>
        <row r="103">
          <cell r="B103" t="str">
            <v>Z. Blank Dept. #13</v>
          </cell>
        </row>
        <row r="104">
          <cell r="B104" t="str">
            <v>Z. Blank Dept. #14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Backup"/>
      <sheetName val="1998 Uniformat"/>
      <sheetName val="Areas"/>
      <sheetName val="A"/>
      <sheetName val="B"/>
      <sheetName val="C"/>
      <sheetName val="D"/>
      <sheetName val="E"/>
      <sheetName val="G"/>
      <sheetName val="Features"/>
      <sheetName val="Value Eng."/>
    </sheetNames>
    <sheetDataSet>
      <sheetData sheetId="0"/>
      <sheetData sheetId="1"/>
      <sheetData sheetId="2"/>
      <sheetData sheetId="3">
        <row r="107">
          <cell r="K107">
            <v>218358</v>
          </cell>
        </row>
      </sheetData>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
      <sheetName val="GC Worksheet"/>
      <sheetName val="Staff Utilization (Const)"/>
      <sheetName val="Personnel Rates"/>
      <sheetName val="Bond&amp;Insurance Calcs"/>
      <sheetName val="Field Office Calc's"/>
      <sheetName val="Polce Detail Calc's"/>
      <sheetName val="Winter Conditions &amp; Temp Heat"/>
      <sheetName val="Man &amp; Mat'l Hoist"/>
      <sheetName val="Temp Enclosures &amp; Barricades"/>
      <sheetName val="General Cleanup"/>
      <sheetName val="Sidewalk &amp; Street Rental"/>
      <sheetName val="Temp Power Consumption"/>
      <sheetName val="Computer Equipment"/>
      <sheetName val="Allowances"/>
      <sheetName val="Clarifi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ior Skin"/>
      <sheetName val="Shell"/>
      <sheetName val="Areas &amp; Finishes "/>
      <sheetName val="Gyp"/>
      <sheetName val="Specialties"/>
    </sheetNames>
    <sheetDataSet>
      <sheetData sheetId="0" refreshError="1"/>
      <sheetData sheetId="1" refreshError="1"/>
      <sheetData sheetId="2" refreshError="1"/>
      <sheetData sheetId="3"/>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ummary"/>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ductive Alternates"/>
      <sheetName val="Markups"/>
      <sheetName val="Sheet3"/>
    </sheetNames>
    <sheetDataSet>
      <sheetData sheetId="0">
        <row r="1">
          <cell r="F1">
            <v>42926</v>
          </cell>
          <cell r="G1">
            <v>0</v>
          </cell>
        </row>
      </sheetData>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VE List"/>
      <sheetName val="50DDReport"/>
      <sheetName val="50DD VE"/>
      <sheetName val="100DD"/>
      <sheetName val="Compare"/>
      <sheetName val="VE Backup"/>
      <sheetName val="Comp to US Cost"/>
      <sheetName val="Analysis"/>
      <sheetName val="Living Economy"/>
      <sheetName val="BKI List"/>
      <sheetName val="VE List (2)"/>
    </sheetNames>
    <sheetDataSet>
      <sheetData sheetId="0">
        <row r="42">
          <cell r="M42">
            <v>17484999.046</v>
          </cell>
        </row>
        <row r="52">
          <cell r="T52">
            <v>8.6696897046751015E-2</v>
          </cell>
        </row>
      </sheetData>
      <sheetData sheetId="1"/>
      <sheetData sheetId="2"/>
      <sheetData sheetId="3"/>
      <sheetData sheetId="4"/>
      <sheetData sheetId="5"/>
      <sheetData sheetId="6">
        <row r="15">
          <cell r="T15">
            <v>-8547</v>
          </cell>
        </row>
        <row r="36">
          <cell r="T36">
            <v>-22619.85</v>
          </cell>
        </row>
        <row r="49">
          <cell r="T49">
            <v>-29493.600000000006</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Backup"/>
      <sheetName val="1998 Uniformat"/>
      <sheetName val="Areas"/>
      <sheetName val="A"/>
      <sheetName val="B"/>
      <sheetName val="C"/>
      <sheetName val="D"/>
      <sheetName val="E"/>
      <sheetName val="G"/>
      <sheetName val="Features"/>
      <sheetName val="Value Eng."/>
    </sheetNames>
    <sheetDataSet>
      <sheetData sheetId="0"/>
      <sheetData sheetId="1"/>
      <sheetData sheetId="2"/>
      <sheetData sheetId="3">
        <row r="107">
          <cell r="K107">
            <v>218358</v>
          </cell>
        </row>
      </sheetData>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e GC'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LETE THIS 1ST!"/>
      <sheetName val="Summary"/>
      <sheetName val="Graphical Summary"/>
      <sheetName val="Building Breakdown"/>
      <sheetName val="Graphical Summary (2)"/>
      <sheetName val="Variance"/>
      <sheetName val=" Variance Report"/>
      <sheetName val="Variance Detail (2)"/>
      <sheetName val="recon summary DRAFT"/>
      <sheetName val="Compare to Res"/>
      <sheetName val="Compare to Res (2)"/>
      <sheetName val="GCs"/>
      <sheetName val="Wind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 36"/>
      <sheetName val="Bid Results - $ per Unit"/>
      <sheetName val="Means 2000"/>
      <sheetName val="Area-Inflation Adjustor"/>
    </sheetNames>
    <sheetDataSet>
      <sheetData sheetId="0" refreshError="1"/>
      <sheetData sheetId="1" refreshError="1">
        <row r="8">
          <cell r="G8">
            <v>1.6053417548283868</v>
          </cell>
          <cell r="H8">
            <v>1.6053417548283868</v>
          </cell>
          <cell r="L8">
            <v>0.20780214031313715</v>
          </cell>
          <cell r="M8">
            <v>0.15306593406593402</v>
          </cell>
          <cell r="N8">
            <v>0.4439399157535025</v>
          </cell>
          <cell r="O8">
            <v>0.38919536366456386</v>
          </cell>
          <cell r="R8">
            <v>8.5258012113934711</v>
          </cell>
          <cell r="S8">
            <v>2.377720131521647</v>
          </cell>
          <cell r="V8">
            <v>15.483333333333333</v>
          </cell>
          <cell r="W8">
            <v>8.2698438733977273</v>
          </cell>
          <cell r="AA8">
            <v>1478.4211641764909</v>
          </cell>
          <cell r="AB8">
            <v>1127.6387808500108</v>
          </cell>
          <cell r="AC8">
            <v>3.9372150950658749</v>
          </cell>
          <cell r="AD8">
            <v>3.6631382227539739</v>
          </cell>
          <cell r="AG8" t="str">
            <v>n/a</v>
          </cell>
          <cell r="AH8">
            <v>0.32724009426157186</v>
          </cell>
          <cell r="AK8">
            <v>0.66485920375433261</v>
          </cell>
          <cell r="AL8">
            <v>0.91900515456949561</v>
          </cell>
          <cell r="AO8">
            <v>2.3440846546601621</v>
          </cell>
          <cell r="AP8">
            <v>2.3312366653707377</v>
          </cell>
          <cell r="AS8" t="str">
            <v>n/a</v>
          </cell>
          <cell r="AT8">
            <v>4.9499454851818809</v>
          </cell>
          <cell r="AW8">
            <v>820.71035727486196</v>
          </cell>
          <cell r="AX8">
            <v>0.64740038445341463</v>
          </cell>
          <cell r="BA8">
            <v>168.26214638174272</v>
          </cell>
          <cell r="BB8">
            <v>0.22600583738337446</v>
          </cell>
          <cell r="BE8">
            <v>27.073614662817139</v>
          </cell>
          <cell r="BF8">
            <v>1.0130988397607954</v>
          </cell>
          <cell r="BI8" t="str">
            <v>n/a</v>
          </cell>
          <cell r="BM8" t="str">
            <v>n/a</v>
          </cell>
          <cell r="BU8">
            <v>2.1427003293084521</v>
          </cell>
          <cell r="BZ8">
            <v>3.2783654939288134</v>
          </cell>
          <cell r="CC8">
            <v>21.453202922433075</v>
          </cell>
          <cell r="CD8">
            <v>0.93306639060763774</v>
          </cell>
          <cell r="CH8">
            <v>0.64364555937146961</v>
          </cell>
          <cell r="CK8">
            <v>10.139829954218444</v>
          </cell>
          <cell r="CL8">
            <v>0.56815397801453771</v>
          </cell>
          <cell r="CO8">
            <v>0.39733216723659825</v>
          </cell>
          <cell r="CP8">
            <v>0.59881548241186433</v>
          </cell>
          <cell r="CS8">
            <v>244.59829059829062</v>
          </cell>
          <cell r="CT8">
            <v>6.7036825596444333E-2</v>
          </cell>
          <cell r="CW8">
            <v>174.23680555555555</v>
          </cell>
          <cell r="CX8">
            <v>1.5748359272178047E-2</v>
          </cell>
          <cell r="DA8">
            <v>13869.5</v>
          </cell>
          <cell r="DB8">
            <v>2.0942191852581211</v>
          </cell>
          <cell r="DE8" t="str">
            <v>n/a</v>
          </cell>
          <cell r="DF8" t="str">
            <v>n/a</v>
          </cell>
          <cell r="DI8">
            <v>3.0589049850579393</v>
          </cell>
          <cell r="DM8">
            <v>2.3946539424936839</v>
          </cell>
          <cell r="DQ8">
            <v>1.3471325816214688</v>
          </cell>
          <cell r="DU8">
            <v>5.1520685052756079</v>
          </cell>
        </row>
      </sheetData>
      <sheetData sheetId="2" refreshError="1">
        <row r="7">
          <cell r="F7">
            <v>5.8560400000000001</v>
          </cell>
        </row>
        <row r="9">
          <cell r="F9">
            <v>0.28050000000000003</v>
          </cell>
        </row>
        <row r="10">
          <cell r="F10">
            <v>0.35</v>
          </cell>
        </row>
        <row r="12">
          <cell r="F12">
            <v>8.1610200000000006</v>
          </cell>
        </row>
        <row r="13">
          <cell r="F13">
            <v>13.19022</v>
          </cell>
        </row>
        <row r="18">
          <cell r="F18">
            <v>505.72</v>
          </cell>
        </row>
        <row r="20">
          <cell r="F20">
            <v>1.7528400000000002</v>
          </cell>
        </row>
        <row r="21">
          <cell r="F21">
            <v>3.3974800000000003</v>
          </cell>
        </row>
        <row r="24">
          <cell r="F24">
            <v>32.59836</v>
          </cell>
        </row>
        <row r="25">
          <cell r="F25">
            <v>38.564820000000005</v>
          </cell>
        </row>
        <row r="26">
          <cell r="F26">
            <v>849.01779999999997</v>
          </cell>
        </row>
        <row r="27">
          <cell r="F27">
            <v>1015.7978000000001</v>
          </cell>
        </row>
        <row r="28">
          <cell r="F28">
            <v>1943.1000000000001</v>
          </cell>
        </row>
        <row r="29">
          <cell r="F29">
            <v>2914.65</v>
          </cell>
        </row>
        <row r="31">
          <cell r="F31">
            <v>2.9912800000000002</v>
          </cell>
        </row>
        <row r="32">
          <cell r="F32" t="str">
            <v>n/a</v>
          </cell>
        </row>
        <row r="33">
          <cell r="F33">
            <v>4.917320000000001</v>
          </cell>
        </row>
        <row r="34">
          <cell r="F34">
            <v>3.1419200000000003</v>
          </cell>
        </row>
        <row r="35">
          <cell r="F35">
            <v>2.08744</v>
          </cell>
        </row>
        <row r="36">
          <cell r="F36">
            <v>33.022440000000003</v>
          </cell>
        </row>
        <row r="37">
          <cell r="F37">
            <v>2.2972600000000001</v>
          </cell>
        </row>
        <row r="38">
          <cell r="F38">
            <v>8.1776</v>
          </cell>
        </row>
        <row r="39">
          <cell r="F39">
            <v>0.61331999999999998</v>
          </cell>
        </row>
        <row r="40">
          <cell r="F40">
            <v>1.4418400000000002</v>
          </cell>
        </row>
        <row r="44">
          <cell r="F44">
            <v>14509.92</v>
          </cell>
        </row>
        <row r="45">
          <cell r="F45">
            <v>20990.880000000001</v>
          </cell>
        </row>
        <row r="47">
          <cell r="F47">
            <v>13.094503589999997</v>
          </cell>
        </row>
        <row r="48">
          <cell r="F48">
            <v>1.7507494939999999</v>
          </cell>
        </row>
        <row r="49">
          <cell r="F49">
            <v>2.1755699999999996</v>
          </cell>
        </row>
        <row r="51">
          <cell r="F51" t="str">
            <v>n/a</v>
          </cell>
        </row>
        <row r="52">
          <cell r="F52">
            <v>12.415440000000002</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Recap"/>
      <sheetName val="Interiors"/>
      <sheetName val="Interior Matrix"/>
    </sheetNames>
    <sheetDataSet>
      <sheetData sheetId="0"/>
      <sheetData sheetId="1">
        <row r="62">
          <cell r="F62">
            <v>0.03</v>
          </cell>
        </row>
        <row r="63">
          <cell r="F63">
            <v>3.5000000000000003E-2</v>
          </cell>
        </row>
        <row r="64">
          <cell r="F64">
            <v>0.05</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Backup"/>
      <sheetName val="1998 Uniformat"/>
      <sheetName val="Areas"/>
      <sheetName val="A"/>
      <sheetName val="B"/>
      <sheetName val="C"/>
      <sheetName val="D"/>
      <sheetName val="E"/>
      <sheetName val="G"/>
      <sheetName val="Features"/>
      <sheetName val="Value Eng."/>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Shell_Core"/>
      <sheetName val="Bldout Recap"/>
      <sheetName val="Interiors"/>
      <sheetName val="Setup"/>
      <sheetName val="Summary"/>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
      <sheetName val="Summary"/>
      <sheetName val="Seawall"/>
      <sheetName val="Det Seawall"/>
      <sheetName val="Site"/>
      <sheetName val="New Site"/>
      <sheetName val="Shell"/>
      <sheetName val="Det Shell"/>
      <sheetName val="Level 1"/>
      <sheetName val="Det Level 1"/>
      <sheetName val="Connector"/>
      <sheetName val="Det Conn"/>
      <sheetName val="Dock"/>
      <sheetName val="Det Dock"/>
      <sheetName val="Level 2"/>
      <sheetName val="Det Level 2"/>
      <sheetName val="Lev 2 Surg"/>
      <sheetName val="Det Lev 2 Surg"/>
      <sheetName val="Level 3"/>
      <sheetName val="Det Level 3"/>
      <sheetName val="Level 4"/>
      <sheetName val="Det Level 4"/>
      <sheetName val="Level 5"/>
      <sheetName val="Det Level 5"/>
      <sheetName val="CEP"/>
      <sheetName val="Det CEP"/>
      <sheetName val="6th Shell"/>
      <sheetName val="Det 6th"/>
      <sheetName val="spec review"/>
    </sheetNames>
    <sheetDataSet>
      <sheetData sheetId="0" refreshError="1"/>
      <sheetData sheetId="1" refreshError="1"/>
      <sheetData sheetId="2" refreshError="1"/>
      <sheetData sheetId="3" refreshError="1"/>
      <sheetData sheetId="4" refreshError="1"/>
      <sheetData sheetId="5" refreshError="1">
        <row r="4">
          <cell r="C4">
            <v>38219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drawing" Target="../drawings/drawing3.xml"/><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5.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indexed="11"/>
    <pageSetUpPr fitToPage="1"/>
  </sheetPr>
  <dimension ref="A1:L54"/>
  <sheetViews>
    <sheetView showRuler="0" view="pageBreakPreview" zoomScaleNormal="100" zoomScaleSheetLayoutView="100" workbookViewId="0">
      <selection activeCell="C41" sqref="C41"/>
    </sheetView>
  </sheetViews>
  <sheetFormatPr defaultRowHeight="12.75"/>
  <cols>
    <col min="1" max="1" width="5.7109375" customWidth="1"/>
    <col min="2" max="2" width="29.7109375" customWidth="1"/>
    <col min="3" max="3" width="12.28515625" customWidth="1"/>
    <col min="4" max="4" width="8.5703125" customWidth="1"/>
    <col min="5" max="5" width="6.7109375" customWidth="1"/>
    <col min="6" max="6" width="11.42578125" style="158" customWidth="1"/>
    <col min="7" max="7" width="15.5703125" style="161" customWidth="1"/>
    <col min="8" max="8" width="5.7109375" customWidth="1"/>
    <col min="9" max="9" width="12.7109375" bestFit="1" customWidth="1"/>
    <col min="10" max="10" width="1.7109375" customWidth="1"/>
    <col min="11" max="11" width="12.28515625" customWidth="1"/>
    <col min="12" max="12" width="12.7109375" style="159" customWidth="1"/>
  </cols>
  <sheetData>
    <row r="1" spans="1:12" ht="19.5" customHeight="1">
      <c r="A1" s="157"/>
      <c r="B1" s="157"/>
      <c r="C1" s="83"/>
      <c r="D1" s="83"/>
      <c r="E1" s="178"/>
      <c r="F1" s="217"/>
      <c r="G1" s="223" t="s">
        <v>0</v>
      </c>
    </row>
    <row r="2" spans="1:12" ht="14.25" customHeight="1">
      <c r="A2" s="160"/>
      <c r="B2" s="83"/>
      <c r="C2" s="83"/>
      <c r="D2" s="83"/>
      <c r="E2" s="178"/>
      <c r="F2" s="83"/>
      <c r="G2" s="221" t="s">
        <v>1</v>
      </c>
    </row>
    <row r="3" spans="1:12" ht="14.25" customHeight="1">
      <c r="A3" s="162"/>
      <c r="B3" s="163"/>
      <c r="C3" s="83"/>
      <c r="D3" s="83"/>
      <c r="E3" s="164"/>
      <c r="F3" s="165"/>
      <c r="G3" s="222" t="s">
        <v>2</v>
      </c>
    </row>
    <row r="4" spans="1:12" ht="9" customHeight="1">
      <c r="A4" s="162"/>
      <c r="B4" s="83"/>
      <c r="C4" s="163"/>
      <c r="D4" s="163"/>
      <c r="E4" s="164"/>
      <c r="F4" s="165"/>
      <c r="G4" s="166"/>
    </row>
    <row r="5" spans="1:12" ht="22.5">
      <c r="A5" s="586" t="s">
        <v>3</v>
      </c>
      <c r="B5" s="587"/>
      <c r="C5" s="587"/>
      <c r="D5" s="587"/>
      <c r="E5" s="587"/>
      <c r="F5" s="587"/>
      <c r="G5" s="588"/>
    </row>
    <row r="6" spans="1:12" ht="9" customHeight="1">
      <c r="A6" s="230"/>
      <c r="B6" s="218"/>
      <c r="C6" s="218"/>
      <c r="D6" s="218"/>
      <c r="E6" s="218"/>
      <c r="F6" s="218"/>
      <c r="G6" s="231"/>
    </row>
    <row r="7" spans="1:12" ht="12.75" customHeight="1">
      <c r="A7" s="232" t="s">
        <v>4</v>
      </c>
      <c r="B7" s="233"/>
      <c r="C7" s="219"/>
      <c r="D7" s="219"/>
      <c r="E7" s="219"/>
      <c r="F7" s="220"/>
      <c r="G7" s="234"/>
    </row>
    <row r="8" spans="1:12" ht="12.75" customHeight="1">
      <c r="A8" s="235" t="s">
        <v>5</v>
      </c>
      <c r="B8" s="236"/>
      <c r="C8" s="237"/>
      <c r="D8" s="237"/>
      <c r="E8" s="237"/>
      <c r="F8" s="238" t="s">
        <v>6</v>
      </c>
      <c r="G8" s="239">
        <v>81000</v>
      </c>
    </row>
    <row r="9" spans="1:12" ht="9" customHeight="1">
      <c r="A9" s="83"/>
      <c r="B9" s="168"/>
      <c r="C9" s="167"/>
      <c r="D9" s="167"/>
      <c r="E9" s="167"/>
      <c r="F9" s="169"/>
      <c r="G9" s="170"/>
    </row>
    <row r="10" spans="1:12" s="144" customFormat="1" ht="27.75" customHeight="1">
      <c r="A10" s="213" t="s">
        <v>7</v>
      </c>
      <c r="B10" s="214" t="s">
        <v>8</v>
      </c>
      <c r="C10" s="214"/>
      <c r="D10" s="215" t="s">
        <v>9</v>
      </c>
      <c r="E10" s="215" t="s">
        <v>10</v>
      </c>
      <c r="F10" s="215" t="s">
        <v>11</v>
      </c>
      <c r="G10" s="216" t="s">
        <v>12</v>
      </c>
      <c r="L10" s="171"/>
    </row>
    <row r="11" spans="1:12" ht="10.5" customHeight="1">
      <c r="A11" s="172"/>
      <c r="B11" s="173"/>
      <c r="C11" s="174"/>
      <c r="D11" s="174"/>
      <c r="E11" s="174"/>
      <c r="F11" s="174"/>
      <c r="G11" s="176"/>
    </row>
    <row r="12" spans="1:12" ht="12.75" customHeight="1">
      <c r="A12" s="177">
        <v>1</v>
      </c>
      <c r="B12" s="178" t="s">
        <v>13</v>
      </c>
      <c r="C12" s="179"/>
      <c r="D12" s="179" t="e">
        <f t="shared" ref="D12:D46" si="0">IF(G12=0,"",$G$8)</f>
        <v>#REF!</v>
      </c>
      <c r="E12" s="180" t="e">
        <f t="shared" ref="E12:E46" si="1">IF(G12=0,"","sf")</f>
        <v>#REF!</v>
      </c>
      <c r="F12" s="181" t="e">
        <f t="shared" ref="F12:F46" si="2">IF(OR(G12=0,D12=0),"",ROUND(G12/SUM($G$8),2))</f>
        <v>#REF!</v>
      </c>
      <c r="G12" s="182" t="e">
        <f>#REF!</f>
        <v>#REF!</v>
      </c>
      <c r="I12" s="145"/>
    </row>
    <row r="13" spans="1:12" ht="12.75" customHeight="1">
      <c r="A13" s="177">
        <v>2</v>
      </c>
      <c r="B13" s="178" t="s">
        <v>14</v>
      </c>
      <c r="C13" s="179"/>
      <c r="D13" s="179" t="e">
        <f t="shared" si="0"/>
        <v>#REF!</v>
      </c>
      <c r="E13" s="180" t="e">
        <f t="shared" si="1"/>
        <v>#REF!</v>
      </c>
      <c r="F13" s="181" t="e">
        <f t="shared" si="2"/>
        <v>#REF!</v>
      </c>
      <c r="G13" s="182" t="e">
        <f>#REF!</f>
        <v>#REF!</v>
      </c>
      <c r="I13" s="145"/>
    </row>
    <row r="14" spans="1:12" ht="12.75" customHeight="1">
      <c r="A14" s="177">
        <v>3</v>
      </c>
      <c r="B14" s="178" t="s">
        <v>15</v>
      </c>
      <c r="C14" s="179"/>
      <c r="D14" s="179" t="e">
        <f t="shared" si="0"/>
        <v>#REF!</v>
      </c>
      <c r="E14" s="180" t="e">
        <f t="shared" si="1"/>
        <v>#REF!</v>
      </c>
      <c r="F14" s="181" t="e">
        <f t="shared" si="2"/>
        <v>#REF!</v>
      </c>
      <c r="G14" s="182" t="e">
        <f>#REF!</f>
        <v>#REF!</v>
      </c>
      <c r="I14" s="145"/>
    </row>
    <row r="15" spans="1:12" ht="12.75" customHeight="1">
      <c r="A15" s="177">
        <v>4</v>
      </c>
      <c r="B15" s="178" t="s">
        <v>16</v>
      </c>
      <c r="C15" s="179"/>
      <c r="D15" s="179" t="e">
        <f t="shared" si="0"/>
        <v>#REF!</v>
      </c>
      <c r="E15" s="180" t="e">
        <f t="shared" si="1"/>
        <v>#REF!</v>
      </c>
      <c r="F15" s="181" t="e">
        <f t="shared" si="2"/>
        <v>#REF!</v>
      </c>
      <c r="G15" s="182" t="e">
        <f>#REF!</f>
        <v>#REF!</v>
      </c>
      <c r="I15" s="145"/>
    </row>
    <row r="16" spans="1:12" ht="12.75" customHeight="1">
      <c r="A16" s="177">
        <v>5</v>
      </c>
      <c r="B16" s="178" t="s">
        <v>17</v>
      </c>
      <c r="C16" s="179"/>
      <c r="D16" s="179" t="e">
        <f t="shared" si="0"/>
        <v>#REF!</v>
      </c>
      <c r="E16" s="180" t="e">
        <f t="shared" si="1"/>
        <v>#REF!</v>
      </c>
      <c r="F16" s="181" t="e">
        <f t="shared" si="2"/>
        <v>#REF!</v>
      </c>
      <c r="G16" s="182" t="e">
        <f>#REF!</f>
        <v>#REF!</v>
      </c>
      <c r="I16" s="145"/>
    </row>
    <row r="17" spans="1:9" ht="12.75" customHeight="1">
      <c r="A17" s="177">
        <v>6</v>
      </c>
      <c r="B17" s="178" t="s">
        <v>18</v>
      </c>
      <c r="C17" s="179"/>
      <c r="D17" s="179" t="e">
        <f t="shared" si="0"/>
        <v>#REF!</v>
      </c>
      <c r="E17" s="180" t="e">
        <f t="shared" si="1"/>
        <v>#REF!</v>
      </c>
      <c r="F17" s="181" t="e">
        <f t="shared" si="2"/>
        <v>#REF!</v>
      </c>
      <c r="G17" s="182" t="e">
        <f>#REF!</f>
        <v>#REF!</v>
      </c>
      <c r="I17" s="145"/>
    </row>
    <row r="18" spans="1:9" ht="12.75" customHeight="1">
      <c r="A18" s="177">
        <v>7</v>
      </c>
      <c r="B18" s="178" t="s">
        <v>19</v>
      </c>
      <c r="C18" s="179"/>
      <c r="D18" s="179" t="e">
        <f t="shared" si="0"/>
        <v>#REF!</v>
      </c>
      <c r="E18" s="180" t="e">
        <f t="shared" si="1"/>
        <v>#REF!</v>
      </c>
      <c r="F18" s="181" t="e">
        <f t="shared" si="2"/>
        <v>#REF!</v>
      </c>
      <c r="G18" s="182" t="e">
        <f>#REF!</f>
        <v>#REF!</v>
      </c>
      <c r="I18" s="145"/>
    </row>
    <row r="19" spans="1:9" ht="12.75" customHeight="1">
      <c r="A19" s="177">
        <v>8</v>
      </c>
      <c r="B19" s="178" t="s">
        <v>20</v>
      </c>
      <c r="C19" s="179"/>
      <c r="D19" s="179" t="e">
        <f t="shared" si="0"/>
        <v>#REF!</v>
      </c>
      <c r="E19" s="180" t="e">
        <f t="shared" si="1"/>
        <v>#REF!</v>
      </c>
      <c r="F19" s="181" t="e">
        <f t="shared" si="2"/>
        <v>#REF!</v>
      </c>
      <c r="G19" s="182" t="e">
        <f>#REF!</f>
        <v>#REF!</v>
      </c>
      <c r="I19" s="145"/>
    </row>
    <row r="20" spans="1:9" ht="12.75" customHeight="1">
      <c r="A20" s="177">
        <v>9</v>
      </c>
      <c r="B20" s="178" t="s">
        <v>21</v>
      </c>
      <c r="C20" s="179"/>
      <c r="D20" s="179" t="e">
        <f t="shared" si="0"/>
        <v>#REF!</v>
      </c>
      <c r="E20" s="180" t="e">
        <f t="shared" si="1"/>
        <v>#REF!</v>
      </c>
      <c r="F20" s="181" t="e">
        <f t="shared" si="2"/>
        <v>#REF!</v>
      </c>
      <c r="G20" s="182" t="e">
        <f>#REF!</f>
        <v>#REF!</v>
      </c>
      <c r="I20" s="145"/>
    </row>
    <row r="21" spans="1:9" ht="12.75" customHeight="1">
      <c r="A21" s="177">
        <v>10</v>
      </c>
      <c r="B21" s="178" t="s">
        <v>22</v>
      </c>
      <c r="C21" s="179"/>
      <c r="D21" s="179" t="e">
        <f t="shared" si="0"/>
        <v>#REF!</v>
      </c>
      <c r="E21" s="180" t="e">
        <f t="shared" si="1"/>
        <v>#REF!</v>
      </c>
      <c r="F21" s="181" t="e">
        <f t="shared" si="2"/>
        <v>#REF!</v>
      </c>
      <c r="G21" s="182" t="e">
        <f>#REF!</f>
        <v>#REF!</v>
      </c>
      <c r="I21" s="145"/>
    </row>
    <row r="22" spans="1:9" ht="12.75" customHeight="1">
      <c r="A22" s="177">
        <v>11</v>
      </c>
      <c r="B22" s="178" t="s">
        <v>23</v>
      </c>
      <c r="C22" s="179"/>
      <c r="D22" s="179" t="e">
        <f t="shared" si="0"/>
        <v>#REF!</v>
      </c>
      <c r="E22" s="180" t="e">
        <f t="shared" si="1"/>
        <v>#REF!</v>
      </c>
      <c r="F22" s="181" t="e">
        <f t="shared" si="2"/>
        <v>#REF!</v>
      </c>
      <c r="G22" s="182" t="e">
        <f>#REF!</f>
        <v>#REF!</v>
      </c>
      <c r="I22" s="145"/>
    </row>
    <row r="23" spans="1:9" ht="12.75" customHeight="1">
      <c r="A23" s="177">
        <v>12</v>
      </c>
      <c r="B23" s="178" t="s">
        <v>24</v>
      </c>
      <c r="C23" s="179"/>
      <c r="D23" s="179" t="e">
        <f t="shared" si="0"/>
        <v>#REF!</v>
      </c>
      <c r="E23" s="180" t="e">
        <f t="shared" si="1"/>
        <v>#REF!</v>
      </c>
      <c r="F23" s="181" t="e">
        <f t="shared" si="2"/>
        <v>#REF!</v>
      </c>
      <c r="G23" s="182" t="e">
        <f>#REF!</f>
        <v>#REF!</v>
      </c>
      <c r="I23" s="145"/>
    </row>
    <row r="24" spans="1:9" ht="12.75" customHeight="1">
      <c r="A24" s="177">
        <v>13</v>
      </c>
      <c r="B24" s="178" t="s">
        <v>25</v>
      </c>
      <c r="C24" s="179"/>
      <c r="D24" s="179" t="e">
        <f t="shared" si="0"/>
        <v>#REF!</v>
      </c>
      <c r="E24" s="180" t="e">
        <f t="shared" si="1"/>
        <v>#REF!</v>
      </c>
      <c r="F24" s="181" t="e">
        <f t="shared" si="2"/>
        <v>#REF!</v>
      </c>
      <c r="G24" s="182" t="e">
        <f>#REF!</f>
        <v>#REF!</v>
      </c>
      <c r="I24" s="145"/>
    </row>
    <row r="25" spans="1:9" ht="12.75" customHeight="1">
      <c r="A25" s="177">
        <v>14</v>
      </c>
      <c r="B25" s="178" t="s">
        <v>26</v>
      </c>
      <c r="C25" s="179"/>
      <c r="D25" s="179" t="e">
        <f t="shared" si="0"/>
        <v>#REF!</v>
      </c>
      <c r="E25" s="180" t="e">
        <f t="shared" si="1"/>
        <v>#REF!</v>
      </c>
      <c r="F25" s="181" t="e">
        <f t="shared" si="2"/>
        <v>#REF!</v>
      </c>
      <c r="G25" s="182" t="e">
        <f>#REF!</f>
        <v>#REF!</v>
      </c>
      <c r="I25" s="145"/>
    </row>
    <row r="26" spans="1:9" ht="12.75" customHeight="1">
      <c r="A26" s="177">
        <v>15</v>
      </c>
      <c r="B26" s="178" t="s">
        <v>27</v>
      </c>
      <c r="C26" s="179"/>
      <c r="D26" s="179" t="e">
        <f t="shared" si="0"/>
        <v>#REF!</v>
      </c>
      <c r="E26" s="180" t="e">
        <f t="shared" si="1"/>
        <v>#REF!</v>
      </c>
      <c r="F26" s="181" t="e">
        <f t="shared" si="2"/>
        <v>#REF!</v>
      </c>
      <c r="G26" s="182" t="e">
        <f>#REF!</f>
        <v>#REF!</v>
      </c>
      <c r="I26" s="145"/>
    </row>
    <row r="27" spans="1:9" ht="12.75" customHeight="1">
      <c r="A27" s="177">
        <v>16</v>
      </c>
      <c r="B27" s="178" t="s">
        <v>28</v>
      </c>
      <c r="C27" s="179"/>
      <c r="D27" s="179" t="e">
        <f t="shared" si="0"/>
        <v>#REF!</v>
      </c>
      <c r="E27" s="180" t="e">
        <f t="shared" si="1"/>
        <v>#REF!</v>
      </c>
      <c r="F27" s="181" t="e">
        <f t="shared" si="2"/>
        <v>#REF!</v>
      </c>
      <c r="G27" s="182" t="e">
        <f>#REF!</f>
        <v>#REF!</v>
      </c>
      <c r="I27" s="145"/>
    </row>
    <row r="28" spans="1:9" ht="12.75" customHeight="1">
      <c r="A28" s="177">
        <v>17</v>
      </c>
      <c r="B28" s="178" t="s">
        <v>29</v>
      </c>
      <c r="C28" s="179"/>
      <c r="D28" s="179" t="e">
        <f t="shared" si="0"/>
        <v>#REF!</v>
      </c>
      <c r="E28" s="180" t="e">
        <f t="shared" si="1"/>
        <v>#REF!</v>
      </c>
      <c r="F28" s="181" t="e">
        <f t="shared" si="2"/>
        <v>#REF!</v>
      </c>
      <c r="G28" s="182" t="e">
        <f>#REF!</f>
        <v>#REF!</v>
      </c>
      <c r="I28" s="145"/>
    </row>
    <row r="29" spans="1:9" ht="12.75" customHeight="1">
      <c r="A29" s="177">
        <v>18</v>
      </c>
      <c r="B29" s="178" t="s">
        <v>30</v>
      </c>
      <c r="C29" s="179"/>
      <c r="D29" s="179" t="e">
        <f t="shared" si="0"/>
        <v>#REF!</v>
      </c>
      <c r="E29" s="180" t="e">
        <f t="shared" si="1"/>
        <v>#REF!</v>
      </c>
      <c r="F29" s="181" t="e">
        <f t="shared" si="2"/>
        <v>#REF!</v>
      </c>
      <c r="G29" s="182" t="e">
        <f>#REF!</f>
        <v>#REF!</v>
      </c>
      <c r="I29" s="145"/>
    </row>
    <row r="30" spans="1:9" ht="12.75" customHeight="1">
      <c r="A30" s="177">
        <v>19</v>
      </c>
      <c r="B30" s="178" t="s">
        <v>31</v>
      </c>
      <c r="C30" s="179"/>
      <c r="D30" s="179" t="e">
        <f t="shared" si="0"/>
        <v>#REF!</v>
      </c>
      <c r="E30" s="180" t="e">
        <f t="shared" si="1"/>
        <v>#REF!</v>
      </c>
      <c r="F30" s="181" t="e">
        <f t="shared" si="2"/>
        <v>#REF!</v>
      </c>
      <c r="G30" s="182" t="e">
        <f>#REF!</f>
        <v>#REF!</v>
      </c>
      <c r="I30" s="145"/>
    </row>
    <row r="31" spans="1:9" ht="12.75" customHeight="1">
      <c r="A31" s="177">
        <v>20</v>
      </c>
      <c r="B31" s="178" t="s">
        <v>32</v>
      </c>
      <c r="C31" s="179"/>
      <c r="D31" s="179" t="e">
        <f t="shared" si="0"/>
        <v>#REF!</v>
      </c>
      <c r="E31" s="180" t="e">
        <f t="shared" si="1"/>
        <v>#REF!</v>
      </c>
      <c r="F31" s="181" t="e">
        <f t="shared" si="2"/>
        <v>#REF!</v>
      </c>
      <c r="G31" s="182" t="e">
        <f>#REF!</f>
        <v>#REF!</v>
      </c>
      <c r="I31" s="145"/>
    </row>
    <row r="32" spans="1:9" ht="12.75" customHeight="1">
      <c r="A32" s="177">
        <v>21</v>
      </c>
      <c r="B32" s="178" t="s">
        <v>33</v>
      </c>
      <c r="C32" s="179"/>
      <c r="D32" s="179" t="e">
        <f t="shared" si="0"/>
        <v>#REF!</v>
      </c>
      <c r="E32" s="180" t="e">
        <f t="shared" si="1"/>
        <v>#REF!</v>
      </c>
      <c r="F32" s="181" t="e">
        <f t="shared" si="2"/>
        <v>#REF!</v>
      </c>
      <c r="G32" s="182" t="e">
        <f>#REF!</f>
        <v>#REF!</v>
      </c>
      <c r="I32" s="145"/>
    </row>
    <row r="33" spans="1:12" ht="12.75" customHeight="1">
      <c r="A33" s="177">
        <v>22</v>
      </c>
      <c r="B33" s="183" t="s">
        <v>34</v>
      </c>
      <c r="C33" s="179"/>
      <c r="D33" s="179" t="e">
        <f t="shared" si="0"/>
        <v>#REF!</v>
      </c>
      <c r="E33" s="180" t="e">
        <f t="shared" si="1"/>
        <v>#REF!</v>
      </c>
      <c r="F33" s="181" t="e">
        <f t="shared" si="2"/>
        <v>#REF!</v>
      </c>
      <c r="G33" s="182" t="e">
        <f>#REF!</f>
        <v>#REF!</v>
      </c>
      <c r="I33" s="145"/>
    </row>
    <row r="34" spans="1:12" ht="12.75" customHeight="1">
      <c r="A34" s="177">
        <v>23</v>
      </c>
      <c r="B34" s="178" t="s">
        <v>35</v>
      </c>
      <c r="C34" s="179"/>
      <c r="D34" s="179" t="e">
        <f t="shared" si="0"/>
        <v>#REF!</v>
      </c>
      <c r="E34" s="180" t="e">
        <f t="shared" si="1"/>
        <v>#REF!</v>
      </c>
      <c r="F34" s="181" t="e">
        <f t="shared" si="2"/>
        <v>#REF!</v>
      </c>
      <c r="G34" s="182" t="e">
        <f>#REF!</f>
        <v>#REF!</v>
      </c>
      <c r="I34" s="145"/>
    </row>
    <row r="35" spans="1:12" ht="12.75" customHeight="1">
      <c r="A35" s="177">
        <v>24</v>
      </c>
      <c r="B35" s="178" t="s">
        <v>36</v>
      </c>
      <c r="C35" s="179"/>
      <c r="D35" s="179" t="e">
        <f t="shared" si="0"/>
        <v>#REF!</v>
      </c>
      <c r="E35" s="180" t="e">
        <f t="shared" si="1"/>
        <v>#REF!</v>
      </c>
      <c r="F35" s="181" t="e">
        <f t="shared" si="2"/>
        <v>#REF!</v>
      </c>
      <c r="G35" s="182" t="e">
        <f>#REF!</f>
        <v>#REF!</v>
      </c>
      <c r="I35" s="145"/>
    </row>
    <row r="36" spans="1:12" ht="12.75" customHeight="1">
      <c r="A36" s="177">
        <v>25</v>
      </c>
      <c r="B36" s="178" t="s">
        <v>37</v>
      </c>
      <c r="C36" s="179"/>
      <c r="D36" s="179" t="e">
        <f t="shared" si="0"/>
        <v>#REF!</v>
      </c>
      <c r="E36" s="180" t="e">
        <f t="shared" si="1"/>
        <v>#REF!</v>
      </c>
      <c r="F36" s="181" t="e">
        <f t="shared" si="2"/>
        <v>#REF!</v>
      </c>
      <c r="G36" s="182" t="e">
        <f>#REF!</f>
        <v>#REF!</v>
      </c>
      <c r="I36" s="145"/>
    </row>
    <row r="37" spans="1:12" ht="12.75" customHeight="1">
      <c r="A37" s="177">
        <v>26</v>
      </c>
      <c r="B37" s="178" t="s">
        <v>38</v>
      </c>
      <c r="C37" s="179"/>
      <c r="D37" s="179" t="e">
        <f t="shared" si="0"/>
        <v>#REF!</v>
      </c>
      <c r="E37" s="180" t="e">
        <f t="shared" si="1"/>
        <v>#REF!</v>
      </c>
      <c r="F37" s="181" t="e">
        <f t="shared" si="2"/>
        <v>#REF!</v>
      </c>
      <c r="G37" s="182" t="e">
        <f>#REF!</f>
        <v>#REF!</v>
      </c>
      <c r="I37" s="145"/>
    </row>
    <row r="38" spans="1:12" ht="12.75" customHeight="1">
      <c r="A38" s="177">
        <v>27</v>
      </c>
      <c r="B38" s="178" t="s">
        <v>39</v>
      </c>
      <c r="C38" s="179"/>
      <c r="D38" s="179" t="e">
        <f t="shared" si="0"/>
        <v>#REF!</v>
      </c>
      <c r="E38" s="180" t="e">
        <f t="shared" si="1"/>
        <v>#REF!</v>
      </c>
      <c r="F38" s="181" t="e">
        <f t="shared" si="2"/>
        <v>#REF!</v>
      </c>
      <c r="G38" s="182" t="e">
        <f>#REF!</f>
        <v>#REF!</v>
      </c>
      <c r="I38" s="145"/>
    </row>
    <row r="39" spans="1:12" ht="12.75" customHeight="1">
      <c r="A39" s="177">
        <v>28</v>
      </c>
      <c r="B39" s="178" t="s">
        <v>40</v>
      </c>
      <c r="C39" s="179"/>
      <c r="D39" s="179" t="e">
        <f t="shared" si="0"/>
        <v>#REF!</v>
      </c>
      <c r="E39" s="180" t="e">
        <f t="shared" si="1"/>
        <v>#REF!</v>
      </c>
      <c r="F39" s="181" t="e">
        <f t="shared" si="2"/>
        <v>#REF!</v>
      </c>
      <c r="G39" s="182" t="e">
        <f>#REF!</f>
        <v>#REF!</v>
      </c>
      <c r="I39" s="145"/>
    </row>
    <row r="40" spans="1:12" ht="12.75" customHeight="1">
      <c r="A40" s="177">
        <v>29</v>
      </c>
      <c r="B40" s="178" t="s">
        <v>41</v>
      </c>
      <c r="C40" s="179"/>
      <c r="D40" s="179" t="e">
        <f>IF(G40=0,"",$G$8)</f>
        <v>#REF!</v>
      </c>
      <c r="E40" s="180" t="e">
        <f>IF(G40=0,"","sf")</f>
        <v>#REF!</v>
      </c>
      <c r="F40" s="181" t="e">
        <f>IF(OR(G40=0,D40=0),"",ROUND(G40/SUM($G$8),2))</f>
        <v>#REF!</v>
      </c>
      <c r="G40" s="182" t="e">
        <f>#REF!</f>
        <v>#REF!</v>
      </c>
      <c r="I40" s="145"/>
    </row>
    <row r="41" spans="1:12" ht="12.75" customHeight="1">
      <c r="A41" s="177">
        <v>30</v>
      </c>
      <c r="B41" s="178" t="s">
        <v>42</v>
      </c>
      <c r="C41" s="179"/>
      <c r="D41" s="179" t="e">
        <f t="shared" si="0"/>
        <v>#REF!</v>
      </c>
      <c r="E41" s="180" t="e">
        <f t="shared" si="1"/>
        <v>#REF!</v>
      </c>
      <c r="F41" s="181" t="e">
        <f t="shared" si="2"/>
        <v>#REF!</v>
      </c>
      <c r="G41" s="182" t="e">
        <f>#REF!</f>
        <v>#REF!</v>
      </c>
      <c r="I41" s="145"/>
    </row>
    <row r="42" spans="1:12" ht="12.75" customHeight="1">
      <c r="A42" s="177">
        <v>31</v>
      </c>
      <c r="B42" s="178" t="s">
        <v>43</v>
      </c>
      <c r="C42" s="179"/>
      <c r="D42" s="179" t="e">
        <f t="shared" si="0"/>
        <v>#REF!</v>
      </c>
      <c r="E42" s="180" t="e">
        <f t="shared" si="1"/>
        <v>#REF!</v>
      </c>
      <c r="F42" s="181" t="e">
        <f t="shared" si="2"/>
        <v>#REF!</v>
      </c>
      <c r="G42" s="182" t="e">
        <f>#REF!</f>
        <v>#REF!</v>
      </c>
      <c r="I42" s="145"/>
    </row>
    <row r="43" spans="1:12" ht="12.75" customHeight="1">
      <c r="A43" s="177">
        <v>32</v>
      </c>
      <c r="B43" s="178" t="s">
        <v>44</v>
      </c>
      <c r="C43" s="179"/>
      <c r="D43" s="179" t="e">
        <f t="shared" si="0"/>
        <v>#REF!</v>
      </c>
      <c r="E43" s="180" t="e">
        <f t="shared" si="1"/>
        <v>#REF!</v>
      </c>
      <c r="F43" s="181" t="e">
        <f t="shared" si="2"/>
        <v>#REF!</v>
      </c>
      <c r="G43" s="182" t="e">
        <f>#REF!</f>
        <v>#REF!</v>
      </c>
      <c r="I43" s="145"/>
    </row>
    <row r="44" spans="1:12" ht="12.75" customHeight="1">
      <c r="A44" s="177">
        <v>33</v>
      </c>
      <c r="B44" s="178" t="s">
        <v>45</v>
      </c>
      <c r="C44" s="179"/>
      <c r="D44" s="179" t="e">
        <f t="shared" si="0"/>
        <v>#REF!</v>
      </c>
      <c r="E44" s="180" t="e">
        <f t="shared" si="1"/>
        <v>#REF!</v>
      </c>
      <c r="F44" s="181" t="e">
        <f t="shared" si="2"/>
        <v>#REF!</v>
      </c>
      <c r="G44" s="182" t="e">
        <f>#REF!</f>
        <v>#REF!</v>
      </c>
      <c r="I44" s="145"/>
    </row>
    <row r="45" spans="1:12" ht="12.75" customHeight="1">
      <c r="A45" s="177">
        <v>34</v>
      </c>
      <c r="B45" s="173" t="s">
        <v>46</v>
      </c>
      <c r="C45" s="179"/>
      <c r="D45" s="179" t="e">
        <f t="shared" si="0"/>
        <v>#REF!</v>
      </c>
      <c r="E45" s="180" t="e">
        <f t="shared" si="1"/>
        <v>#REF!</v>
      </c>
      <c r="F45" s="181" t="e">
        <f t="shared" si="2"/>
        <v>#REF!</v>
      </c>
      <c r="G45" s="182" t="e">
        <f>#REF!</f>
        <v>#REF!</v>
      </c>
      <c r="I45" s="145"/>
    </row>
    <row r="46" spans="1:12" ht="12.75" customHeight="1">
      <c r="A46" s="177">
        <v>35</v>
      </c>
      <c r="B46" s="178" t="s">
        <v>47</v>
      </c>
      <c r="C46" s="179"/>
      <c r="D46" s="179" t="e">
        <f t="shared" si="0"/>
        <v>#REF!</v>
      </c>
      <c r="E46" s="180" t="e">
        <f t="shared" si="1"/>
        <v>#REF!</v>
      </c>
      <c r="F46" s="181" t="e">
        <f t="shared" si="2"/>
        <v>#REF!</v>
      </c>
      <c r="G46" s="182" t="e">
        <f>#REF!</f>
        <v>#REF!</v>
      </c>
      <c r="I46" s="145"/>
    </row>
    <row r="47" spans="1:12" ht="9" customHeight="1">
      <c r="A47" s="184"/>
      <c r="B47" s="185"/>
      <c r="C47" s="170"/>
      <c r="D47" s="170"/>
      <c r="E47" s="186"/>
      <c r="F47" s="187"/>
      <c r="G47" s="188"/>
      <c r="I47" s="145"/>
    </row>
    <row r="48" spans="1:12" s="189" customFormat="1" ht="23.25" customHeight="1">
      <c r="A48" s="201"/>
      <c r="B48" s="175" t="s">
        <v>48</v>
      </c>
      <c r="C48" s="209"/>
      <c r="D48" s="209" t="e">
        <f>IF(G48=0,"",$G$8)</f>
        <v>#REF!</v>
      </c>
      <c r="E48" s="210" t="e">
        <f>IF(G48=0,"","sf")</f>
        <v>#REF!</v>
      </c>
      <c r="F48" s="211" t="e">
        <f>IF(OR(G48=0,D48=0),"",ROUND(G48/SUM($G$8),2))</f>
        <v>#REF!</v>
      </c>
      <c r="G48" s="212" t="e">
        <f>(SUM(G11:G47))</f>
        <v>#REF!</v>
      </c>
      <c r="I48" s="190" t="e">
        <f>'Procurement Estimate'!#REF!</f>
        <v>#REF!</v>
      </c>
      <c r="J48" s="191"/>
      <c r="K48" s="192" t="e">
        <f>I48-G48</f>
        <v>#REF!</v>
      </c>
      <c r="L48" s="193" t="e">
        <f>IF(K48=0,"CHECKED","ERROR")</f>
        <v>#REF!</v>
      </c>
    </row>
    <row r="49" spans="1:12" ht="9" customHeight="1">
      <c r="A49" s="196"/>
      <c r="B49" s="197"/>
      <c r="C49" s="197"/>
      <c r="D49" s="197"/>
      <c r="E49" s="198"/>
      <c r="F49" s="199"/>
      <c r="G49" s="200"/>
      <c r="I49" s="145"/>
    </row>
    <row r="50" spans="1:12" ht="12.2" customHeight="1">
      <c r="A50" s="202"/>
      <c r="B50" s="173" t="s">
        <v>49</v>
      </c>
      <c r="C50" s="173"/>
      <c r="D50" s="179" t="e">
        <f>IF(G50=0,"",$G$8)</f>
        <v>#REF!</v>
      </c>
      <c r="E50" s="180" t="e">
        <f>IF(G50=0,"","sf")</f>
        <v>#REF!</v>
      </c>
      <c r="F50" s="181" t="e">
        <f>IF(OR(G50=0,D50=0),"",ROUND(G50/SUM($G$8),2))</f>
        <v>#REF!</v>
      </c>
      <c r="G50" s="203" t="e">
        <f>SUM(#REF!)</f>
        <v>#REF!</v>
      </c>
    </row>
    <row r="51" spans="1:12" ht="9" customHeight="1">
      <c r="A51" s="204"/>
      <c r="B51" s="205"/>
      <c r="C51" s="205"/>
      <c r="D51" s="205"/>
      <c r="E51" s="206"/>
      <c r="F51" s="207"/>
      <c r="G51" s="208"/>
    </row>
    <row r="52" spans="1:12" s="194" customFormat="1" ht="23.25" customHeight="1">
      <c r="A52" s="224"/>
      <c r="B52" s="225" t="s">
        <v>50</v>
      </c>
      <c r="C52" s="226"/>
      <c r="D52" s="226" t="e">
        <f>IF(G52=0,"",$G$8)</f>
        <v>#REF!</v>
      </c>
      <c r="E52" s="227" t="e">
        <f>IF(G52=0,"","sf")</f>
        <v>#REF!</v>
      </c>
      <c r="F52" s="228" t="e">
        <f>IF(OR(G52=0,D52=0),"",ROUND(G52/SUM($G$8),2))</f>
        <v>#REF!</v>
      </c>
      <c r="G52" s="229" t="e">
        <f>(SUM(G48:G51))</f>
        <v>#REF!</v>
      </c>
      <c r="L52" s="195"/>
    </row>
    <row r="53" spans="1:12" ht="9" customHeight="1">
      <c r="A53" s="240"/>
      <c r="B53" s="241"/>
      <c r="C53" s="241"/>
      <c r="D53" s="241"/>
      <c r="E53" s="241"/>
      <c r="F53" s="241"/>
      <c r="G53" s="242"/>
    </row>
    <row r="54" spans="1:12" ht="9" customHeight="1">
      <c r="A54" s="243"/>
      <c r="B54" s="244"/>
      <c r="C54" s="244"/>
      <c r="D54" s="244"/>
      <c r="E54" s="244"/>
      <c r="F54" s="464"/>
      <c r="G54" s="245"/>
    </row>
  </sheetData>
  <customSheetViews>
    <customSheetView guid="{44AE2428-6D29-41CE-8BE6-3A12B4ABC13E}" showPageBreaks="1" fitToPage="1" state="hidden" view="pageBreakPreview" showRuler="0">
      <selection activeCell="C41" sqref="C41"/>
      <rowBreaks count="1" manualBreakCount="1">
        <brk id="53" max="6" man="1"/>
      </rowBreaks>
      <pageMargins left="0" right="0" top="0" bottom="0" header="0" footer="0"/>
      <printOptions horizontalCentered="1"/>
      <pageSetup scale="72" fitToHeight="0" orientation="portrait" horizontalDpi="300" verticalDpi="300" r:id="rId1"/>
      <headerFooter alignWithMargins="0">
        <oddFooter>&amp;R&amp;"Skanska Sans Regular,Regular"8/27/2009</oddFooter>
      </headerFooter>
    </customSheetView>
    <customSheetView guid="{C99F132B-0D33-4B4E-8A4C-0DE2B6C7BABE}" showPageBreaks="1" fitToPage="1" state="hidden" view="pageBreakPreview" showRuler="0" topLeftCell="A31">
      <selection activeCell="C41" sqref="C41"/>
      <rowBreaks count="1" manualBreakCount="1">
        <brk id="53" max="6" man="1"/>
      </rowBreaks>
      <pageMargins left="0" right="0" top="0" bottom="0" header="0" footer="0"/>
      <printOptions horizontalCentered="1"/>
      <pageSetup scale="72" fitToHeight="0" orientation="portrait" horizontalDpi="300" verticalDpi="300" r:id="rId2"/>
      <headerFooter alignWithMargins="0">
        <oddFooter>&amp;R&amp;"Skanska Sans Regular,Regular"8/27/2009</oddFooter>
      </headerFooter>
    </customSheetView>
    <customSheetView guid="{250C47CD-C951-45B0-85B8-EF6851D1622A}" showPageBreaks="1" fitToPage="1" state="hidden" view="pageBreakPreview" showRuler="0" topLeftCell="A31">
      <selection activeCell="C41" sqref="C41"/>
      <rowBreaks count="1" manualBreakCount="1">
        <brk id="53" max="6" man="1"/>
      </rowBreaks>
      <pageMargins left="0" right="0" top="0" bottom="0" header="0" footer="0"/>
      <printOptions horizontalCentered="1"/>
      <pageSetup scale="72" fitToHeight="0" orientation="portrait" horizontalDpi="300" verticalDpi="300" r:id="rId3"/>
      <headerFooter alignWithMargins="0">
        <oddFooter>&amp;R&amp;"Skanska Sans Regular,Regular"8/27/2009</oddFooter>
      </headerFooter>
    </customSheetView>
    <customSheetView guid="{F9B0E021-530B-4D97-A767-F06D45031BB4}" showPageBreaks="1" fitToPage="1" printArea="1" state="hidden" view="pageBreakPreview" topLeftCell="A31">
      <selection activeCell="C41" sqref="C41"/>
      <rowBreaks count="1" manualBreakCount="1">
        <brk id="53" max="6" man="1"/>
      </rowBreaks>
      <pageMargins left="0" right="0" top="0" bottom="0" header="0" footer="0"/>
      <printOptions horizontalCentered="1"/>
      <pageSetup fitToHeight="0" orientation="portrait" horizontalDpi="300" verticalDpi="300" r:id="rId4"/>
      <headerFooter alignWithMargins="0">
        <oddFooter>&amp;R&amp;"Skanska Sans Regular,Regular"8/27/2009</oddFooter>
      </headerFooter>
    </customSheetView>
    <customSheetView guid="{F1A6D050-DA21-4A77-B24F-7B069B700D3A}" showPageBreaks="1" fitToPage="1" state="hidden" view="pageBreakPreview" topLeftCell="A31">
      <selection activeCell="C41" sqref="C41"/>
      <rowBreaks count="1" manualBreakCount="1">
        <brk id="53" max="6" man="1"/>
      </rowBreaks>
      <pageMargins left="0" right="0" top="0" bottom="0" header="0" footer="0"/>
      <printOptions horizontalCentered="1"/>
      <pageSetup scale="72" fitToHeight="0" orientation="portrait" horizontalDpi="300" verticalDpi="300" r:id="rId5"/>
      <headerFooter alignWithMargins="0">
        <oddFooter>&amp;R&amp;"Skanska Sans Regular,Regular"8/27/2009</oddFooter>
      </headerFooter>
    </customSheetView>
  </customSheetViews>
  <mergeCells count="1">
    <mergeCell ref="A5:G5"/>
  </mergeCells>
  <phoneticPr fontId="0" type="noConversion"/>
  <printOptions horizontalCentered="1"/>
  <pageMargins left="0.5" right="0.5" top="0.25" bottom="0.25" header="0.17" footer="0.16"/>
  <pageSetup scale="70" fitToHeight="0" orientation="portrait" horizontalDpi="300" verticalDpi="300" r:id="rId6"/>
  <headerFooter alignWithMargins="0">
    <oddFooter>&amp;R&amp;"Skanska Sans Regular,Regular"8/27/2009</oddFooter>
  </headerFooter>
  <rowBreaks count="1" manualBreakCount="1">
    <brk id="53" max="6"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pageSetUpPr fitToPage="1"/>
  </sheetPr>
  <dimension ref="A1:U53"/>
  <sheetViews>
    <sheetView showRuler="0" view="pageBreakPreview" topLeftCell="A7" zoomScale="65" zoomScaleNormal="50" zoomScaleSheetLayoutView="75" workbookViewId="0">
      <pane ySplit="6" topLeftCell="A13" activePane="bottomLeft" state="frozen"/>
      <selection activeCell="A7" sqref="A7"/>
      <selection pane="bottomLeft" activeCell="C36" sqref="C36"/>
    </sheetView>
  </sheetViews>
  <sheetFormatPr defaultRowHeight="12.75"/>
  <cols>
    <col min="1" max="1" width="6.28515625" customWidth="1"/>
    <col min="2" max="2" width="11.140625" style="51" customWidth="1"/>
    <col min="3" max="3" width="72.140625" style="144" customWidth="1"/>
    <col min="4" max="4" width="23.7109375" style="145" customWidth="1"/>
    <col min="5" max="5" width="23.7109375" style="146" customWidth="1"/>
    <col min="6" max="6" width="23.7109375" style="147" customWidth="1"/>
    <col min="7" max="7" width="21.85546875" style="145" customWidth="1"/>
    <col min="8" max="8" width="50.42578125" style="145" customWidth="1"/>
    <col min="9" max="9" width="14.140625" customWidth="1"/>
    <col min="10" max="10" width="18.7109375" style="52" customWidth="1"/>
    <col min="11" max="11" width="18.85546875" customWidth="1"/>
  </cols>
  <sheetData>
    <row r="1" spans="1:21" s="47" customFormat="1" ht="27">
      <c r="A1" s="189"/>
      <c r="B1" s="502"/>
      <c r="C1" s="67"/>
      <c r="D1" s="503"/>
      <c r="E1" s="68"/>
      <c r="F1" s="503"/>
      <c r="G1" s="503"/>
      <c r="H1" s="503"/>
      <c r="I1" s="504"/>
      <c r="J1" s="189"/>
      <c r="K1" s="189"/>
      <c r="L1" s="189"/>
      <c r="M1" s="189"/>
      <c r="N1" s="189"/>
      <c r="O1" s="189"/>
      <c r="P1" s="189"/>
      <c r="Q1" s="189"/>
      <c r="R1" s="189"/>
      <c r="S1" s="189"/>
      <c r="T1" s="189"/>
      <c r="U1" s="189"/>
    </row>
    <row r="2" spans="1:21" s="47" customFormat="1" ht="27">
      <c r="A2" s="189"/>
      <c r="B2" s="503" t="s">
        <v>51</v>
      </c>
      <c r="C2" s="67"/>
      <c r="D2" s="503"/>
      <c r="E2" s="68"/>
      <c r="F2" s="503"/>
      <c r="G2" s="503"/>
      <c r="H2" s="503"/>
      <c r="I2" s="504"/>
      <c r="J2" s="189"/>
      <c r="K2" s="189"/>
      <c r="L2" s="189"/>
      <c r="M2" s="189"/>
      <c r="N2" s="189"/>
      <c r="O2" s="189"/>
      <c r="P2" s="189"/>
      <c r="Q2" s="189"/>
      <c r="R2" s="189"/>
      <c r="S2" s="189"/>
      <c r="T2" s="189"/>
      <c r="U2" s="189"/>
    </row>
    <row r="3" spans="1:21" s="47" customFormat="1" ht="27">
      <c r="A3" s="189"/>
      <c r="B3" s="69" t="s">
        <v>52</v>
      </c>
      <c r="C3" s="67"/>
      <c r="D3" s="503"/>
      <c r="E3" s="68"/>
      <c r="F3" s="503"/>
      <c r="G3" s="503"/>
      <c r="H3" s="503"/>
      <c r="I3" s="504"/>
      <c r="J3" s="189"/>
      <c r="K3" s="189"/>
      <c r="L3" s="189"/>
      <c r="M3" s="189"/>
      <c r="N3" s="189"/>
      <c r="O3" s="189"/>
      <c r="P3" s="189"/>
      <c r="Q3" s="189"/>
      <c r="R3" s="189"/>
      <c r="S3" s="189"/>
      <c r="T3" s="189"/>
      <c r="U3" s="189"/>
    </row>
    <row r="4" spans="1:21" s="47" customFormat="1" ht="22.5">
      <c r="A4" s="189"/>
      <c r="B4" s="69" t="s">
        <v>53</v>
      </c>
      <c r="C4" s="465"/>
      <c r="D4" s="463"/>
      <c r="E4" s="463"/>
      <c r="F4" s="70"/>
      <c r="G4" s="463"/>
      <c r="H4" s="463"/>
      <c r="I4" s="463"/>
      <c r="J4" s="189"/>
      <c r="K4" s="189"/>
      <c r="L4" s="189"/>
      <c r="M4" s="189"/>
      <c r="N4" s="189"/>
      <c r="O4" s="189"/>
      <c r="P4" s="189"/>
      <c r="Q4" s="189"/>
      <c r="R4" s="189"/>
      <c r="S4" s="189"/>
      <c r="T4" s="189"/>
      <c r="U4" s="189"/>
    </row>
    <row r="5" spans="1:21" s="50" customFormat="1" ht="20.25">
      <c r="B5" s="48"/>
      <c r="C5" s="71"/>
      <c r="D5" s="49"/>
      <c r="E5" s="49"/>
      <c r="F5" s="72"/>
      <c r="G5" s="49"/>
      <c r="H5" s="49"/>
      <c r="I5" s="49"/>
    </row>
    <row r="6" spans="1:21" s="50" customFormat="1" ht="20.25">
      <c r="B6" s="48"/>
      <c r="C6" s="71"/>
      <c r="D6" s="49"/>
      <c r="E6" s="49"/>
      <c r="F6" s="72"/>
      <c r="G6" s="49"/>
      <c r="H6" s="49"/>
      <c r="I6" s="49"/>
    </row>
    <row r="7" spans="1:21" s="50" customFormat="1" ht="30.75" thickBot="1">
      <c r="B7" s="589" t="s">
        <v>54</v>
      </c>
      <c r="C7" s="589"/>
      <c r="D7" s="589"/>
      <c r="E7" s="589"/>
      <c r="F7" s="589"/>
      <c r="G7" s="589"/>
      <c r="H7" s="589"/>
      <c r="I7" s="65"/>
    </row>
    <row r="8" spans="1:21" s="50" customFormat="1" ht="24" thickBot="1">
      <c r="B8" s="73"/>
      <c r="C8" s="74"/>
      <c r="D8" s="75"/>
      <c r="E8" s="76"/>
      <c r="F8" s="466"/>
      <c r="G8" s="77" t="s">
        <v>55</v>
      </c>
      <c r="H8" s="78">
        <v>40003</v>
      </c>
      <c r="I8" s="66"/>
    </row>
    <row r="9" spans="1:21" ht="26.25" thickBot="1">
      <c r="B9" s="79"/>
      <c r="C9" s="80"/>
      <c r="D9" s="81"/>
      <c r="E9" s="81"/>
      <c r="F9" s="82"/>
      <c r="G9" s="81"/>
      <c r="H9" s="81"/>
      <c r="I9" s="83"/>
      <c r="J9" s="84"/>
      <c r="K9" s="83"/>
      <c r="L9" s="83"/>
      <c r="M9" s="83"/>
      <c r="N9" s="83"/>
      <c r="O9" s="83"/>
      <c r="P9" s="83"/>
      <c r="Q9" s="83"/>
      <c r="R9" s="83"/>
      <c r="S9" s="83"/>
      <c r="T9" s="83"/>
      <c r="U9" s="83"/>
    </row>
    <row r="10" spans="1:21" ht="26.25" thickTop="1">
      <c r="B10" s="591" t="s">
        <v>56</v>
      </c>
      <c r="C10" s="591" t="s">
        <v>57</v>
      </c>
      <c r="D10" s="85" t="s">
        <v>58</v>
      </c>
      <c r="E10" s="86"/>
      <c r="F10" s="87" t="s">
        <v>58</v>
      </c>
      <c r="G10" s="88" t="s">
        <v>59</v>
      </c>
      <c r="H10" s="88"/>
      <c r="I10" s="89"/>
      <c r="J10" s="84"/>
      <c r="K10" s="83"/>
      <c r="L10" s="83"/>
      <c r="M10" s="83"/>
      <c r="N10" s="83"/>
      <c r="O10" s="83"/>
      <c r="P10" s="83"/>
      <c r="Q10" s="83"/>
      <c r="R10" s="83"/>
      <c r="S10" s="83"/>
      <c r="T10" s="83"/>
      <c r="U10" s="83"/>
    </row>
    <row r="11" spans="1:21" ht="25.5">
      <c r="B11" s="592"/>
      <c r="C11" s="592"/>
      <c r="D11" s="90" t="s">
        <v>60</v>
      </c>
      <c r="E11" s="91" t="s">
        <v>61</v>
      </c>
      <c r="F11" s="92" t="s">
        <v>62</v>
      </c>
      <c r="G11" s="93" t="s">
        <v>63</v>
      </c>
      <c r="H11" s="93" t="s">
        <v>64</v>
      </c>
      <c r="I11" s="89"/>
      <c r="J11" s="84"/>
      <c r="K11" s="83"/>
      <c r="L11" s="83"/>
      <c r="M11" s="83"/>
      <c r="N11" s="83"/>
      <c r="O11" s="83"/>
      <c r="P11" s="83"/>
      <c r="Q11" s="83"/>
      <c r="R11" s="83"/>
      <c r="S11" s="83"/>
      <c r="T11" s="83"/>
      <c r="U11" s="83"/>
    </row>
    <row r="12" spans="1:21" ht="26.25" thickBot="1">
      <c r="B12" s="593"/>
      <c r="C12" s="593"/>
      <c r="D12" s="94"/>
      <c r="E12" s="95"/>
      <c r="F12" s="96"/>
      <c r="G12" s="97"/>
      <c r="H12" s="97"/>
      <c r="I12" s="89"/>
      <c r="J12" s="84"/>
      <c r="K12" s="83"/>
      <c r="L12" s="83"/>
      <c r="M12" s="83"/>
      <c r="N12" s="83"/>
      <c r="O12" s="83"/>
      <c r="P12" s="83"/>
      <c r="Q12" s="83"/>
      <c r="R12" s="83"/>
      <c r="S12" s="83"/>
      <c r="T12" s="83"/>
      <c r="U12" s="83"/>
    </row>
    <row r="13" spans="1:21" ht="22.5">
      <c r="B13" s="98"/>
      <c r="C13" s="99"/>
      <c r="D13" s="100"/>
      <c r="E13" s="101"/>
      <c r="F13" s="102"/>
      <c r="G13" s="103"/>
      <c r="H13" s="103"/>
      <c r="I13" s="83"/>
      <c r="J13" s="84"/>
      <c r="K13" s="104"/>
      <c r="L13" s="105"/>
      <c r="M13" s="83"/>
      <c r="N13" s="83"/>
      <c r="O13" s="83"/>
      <c r="P13" s="83"/>
      <c r="Q13" s="83"/>
      <c r="R13" s="83"/>
      <c r="S13" s="83"/>
      <c r="T13" s="83"/>
      <c r="U13" s="83"/>
    </row>
    <row r="14" spans="1:21" ht="22.5">
      <c r="B14" s="106" t="e">
        <f>#REF!</f>
        <v>#REF!</v>
      </c>
      <c r="C14" s="107" t="e">
        <f>#REF!</f>
        <v>#REF!</v>
      </c>
      <c r="D14" s="108" t="e">
        <f>#REF!</f>
        <v>#REF!</v>
      </c>
      <c r="E14" s="109"/>
      <c r="F14" s="110" t="e">
        <f>D14+E14</f>
        <v>#REF!</v>
      </c>
      <c r="G14" s="111"/>
      <c r="H14" s="111"/>
      <c r="I14" s="112"/>
      <c r="J14" s="84"/>
      <c r="K14" s="105"/>
      <c r="L14" s="105"/>
      <c r="M14" s="83"/>
      <c r="N14" s="83"/>
      <c r="O14" s="83"/>
      <c r="P14" s="83"/>
      <c r="Q14" s="83"/>
      <c r="R14" s="83"/>
      <c r="S14" s="83"/>
      <c r="T14" s="83"/>
      <c r="U14" s="83"/>
    </row>
    <row r="15" spans="1:21" ht="22.5">
      <c r="A15" s="113"/>
      <c r="B15" s="106" t="e">
        <f>#REF!</f>
        <v>#REF!</v>
      </c>
      <c r="C15" s="107" t="e">
        <f>#REF!</f>
        <v>#REF!</v>
      </c>
      <c r="D15" s="108" t="e">
        <f>#REF!</f>
        <v>#REF!</v>
      </c>
      <c r="E15" s="109"/>
      <c r="F15" s="110" t="e">
        <f t="shared" ref="F15:F32" si="0">D15+E15</f>
        <v>#REF!</v>
      </c>
      <c r="G15" s="111"/>
      <c r="H15" s="111"/>
      <c r="I15" s="112"/>
      <c r="J15" s="84"/>
      <c r="K15" s="105"/>
      <c r="L15" s="105"/>
      <c r="M15" s="83"/>
      <c r="N15" s="83"/>
      <c r="O15" s="83"/>
      <c r="P15" s="83"/>
      <c r="Q15" s="83"/>
      <c r="R15" s="83"/>
      <c r="S15" s="83"/>
      <c r="T15" s="83"/>
      <c r="U15" s="83"/>
    </row>
    <row r="16" spans="1:21" ht="22.5">
      <c r="A16" s="113"/>
      <c r="B16" s="106" t="e">
        <f>#REF!</f>
        <v>#REF!</v>
      </c>
      <c r="C16" s="107" t="e">
        <f>#REF!</f>
        <v>#REF!</v>
      </c>
      <c r="D16" s="108" t="e">
        <f>#REF!</f>
        <v>#REF!</v>
      </c>
      <c r="E16" s="109"/>
      <c r="F16" s="110" t="e">
        <f t="shared" si="0"/>
        <v>#REF!</v>
      </c>
      <c r="G16" s="111"/>
      <c r="H16" s="111"/>
      <c r="I16" s="112"/>
      <c r="J16" s="114"/>
      <c r="K16" s="105"/>
      <c r="L16" s="105"/>
      <c r="M16" s="83"/>
      <c r="N16" s="83"/>
      <c r="O16" s="83"/>
      <c r="P16" s="83"/>
      <c r="Q16" s="83"/>
      <c r="R16" s="83"/>
      <c r="S16" s="83"/>
      <c r="T16" s="83"/>
      <c r="U16" s="83"/>
    </row>
    <row r="17" spans="1:21" ht="22.5">
      <c r="A17" s="113"/>
      <c r="B17" s="106" t="e">
        <f>#REF!</f>
        <v>#REF!</v>
      </c>
      <c r="C17" s="107" t="e">
        <f>#REF!</f>
        <v>#REF!</v>
      </c>
      <c r="D17" s="108" t="e">
        <f>#REF!</f>
        <v>#REF!</v>
      </c>
      <c r="E17" s="109"/>
      <c r="F17" s="110" t="e">
        <f t="shared" si="0"/>
        <v>#REF!</v>
      </c>
      <c r="G17" s="111"/>
      <c r="H17" s="111"/>
      <c r="I17" s="112"/>
      <c r="J17" s="114"/>
      <c r="K17" s="105"/>
      <c r="L17" s="105"/>
      <c r="M17" s="83"/>
      <c r="N17" s="83"/>
      <c r="O17" s="83"/>
      <c r="P17" s="83"/>
      <c r="Q17" s="83"/>
      <c r="R17" s="83"/>
      <c r="S17" s="83"/>
      <c r="T17" s="83"/>
      <c r="U17" s="83"/>
    </row>
    <row r="18" spans="1:21" ht="22.5">
      <c r="A18" s="113"/>
      <c r="B18" s="106" t="e">
        <f>#REF!</f>
        <v>#REF!</v>
      </c>
      <c r="C18" s="107" t="e">
        <f>#REF!</f>
        <v>#REF!</v>
      </c>
      <c r="D18" s="108" t="e">
        <f>#REF!</f>
        <v>#REF!</v>
      </c>
      <c r="E18" s="109"/>
      <c r="F18" s="110" t="e">
        <f t="shared" si="0"/>
        <v>#REF!</v>
      </c>
      <c r="G18" s="115"/>
      <c r="H18" s="111"/>
      <c r="I18" s="112"/>
      <c r="J18" s="114"/>
      <c r="K18" s="105"/>
      <c r="L18" s="105"/>
      <c r="M18" s="83"/>
      <c r="N18" s="83"/>
      <c r="O18" s="83"/>
      <c r="P18" s="83"/>
      <c r="Q18" s="83"/>
      <c r="R18" s="83"/>
      <c r="S18" s="83"/>
      <c r="T18" s="83"/>
      <c r="U18" s="83"/>
    </row>
    <row r="19" spans="1:21" ht="22.5">
      <c r="A19" s="113"/>
      <c r="B19" s="106" t="e">
        <f>#REF!</f>
        <v>#REF!</v>
      </c>
      <c r="C19" s="107" t="e">
        <f>#REF!</f>
        <v>#REF!</v>
      </c>
      <c r="D19" s="108" t="e">
        <f>#REF!</f>
        <v>#REF!</v>
      </c>
      <c r="E19" s="109"/>
      <c r="F19" s="110" t="e">
        <f t="shared" si="0"/>
        <v>#REF!</v>
      </c>
      <c r="G19" s="111"/>
      <c r="H19" s="111"/>
      <c r="I19" s="112"/>
      <c r="J19" s="114"/>
      <c r="K19" s="105"/>
      <c r="L19" s="105"/>
      <c r="M19" s="83"/>
      <c r="N19" s="83"/>
      <c r="O19" s="83"/>
      <c r="P19" s="83"/>
      <c r="Q19" s="83"/>
      <c r="R19" s="83"/>
      <c r="S19" s="83"/>
      <c r="T19" s="83"/>
      <c r="U19" s="83"/>
    </row>
    <row r="20" spans="1:21" ht="22.5">
      <c r="A20" s="113"/>
      <c r="B20" s="106" t="e">
        <f>#REF!</f>
        <v>#REF!</v>
      </c>
      <c r="C20" s="107" t="e">
        <f>#REF!</f>
        <v>#REF!</v>
      </c>
      <c r="D20" s="108" t="e">
        <f>#REF!</f>
        <v>#REF!</v>
      </c>
      <c r="E20" s="109"/>
      <c r="F20" s="110" t="e">
        <f t="shared" si="0"/>
        <v>#REF!</v>
      </c>
      <c r="G20" s="111"/>
      <c r="H20" s="111"/>
      <c r="I20" s="112"/>
      <c r="J20" s="114"/>
      <c r="K20" s="105"/>
      <c r="L20" s="105"/>
      <c r="M20" s="83"/>
      <c r="N20" s="83"/>
      <c r="O20" s="83"/>
      <c r="P20" s="83"/>
      <c r="Q20" s="83"/>
      <c r="R20" s="83"/>
      <c r="S20" s="83"/>
      <c r="T20" s="83"/>
      <c r="U20" s="83"/>
    </row>
    <row r="21" spans="1:21" ht="22.5">
      <c r="A21" s="113"/>
      <c r="B21" s="106" t="e">
        <f>#REF!</f>
        <v>#REF!</v>
      </c>
      <c r="C21" s="107" t="e">
        <f>#REF!</f>
        <v>#REF!</v>
      </c>
      <c r="D21" s="108" t="e">
        <f>#REF!</f>
        <v>#REF!</v>
      </c>
      <c r="E21" s="109"/>
      <c r="F21" s="110" t="e">
        <f t="shared" si="0"/>
        <v>#REF!</v>
      </c>
      <c r="G21" s="111"/>
      <c r="H21" s="111"/>
      <c r="I21" s="112"/>
      <c r="J21" s="114"/>
      <c r="K21" s="105"/>
      <c r="L21" s="105"/>
      <c r="M21" s="83"/>
      <c r="N21" s="83"/>
      <c r="O21" s="83"/>
      <c r="P21" s="83"/>
      <c r="Q21" s="83"/>
      <c r="R21" s="83"/>
      <c r="S21" s="83"/>
      <c r="T21" s="83"/>
      <c r="U21" s="83"/>
    </row>
    <row r="22" spans="1:21" ht="22.5">
      <c r="A22" s="113"/>
      <c r="B22" s="106" t="e">
        <f>#REF!</f>
        <v>#REF!</v>
      </c>
      <c r="C22" s="107" t="e">
        <f>#REF!</f>
        <v>#REF!</v>
      </c>
      <c r="D22" s="108" t="e">
        <f>#REF!</f>
        <v>#REF!</v>
      </c>
      <c r="E22" s="109"/>
      <c r="F22" s="110" t="e">
        <f t="shared" si="0"/>
        <v>#REF!</v>
      </c>
      <c r="G22" s="111"/>
      <c r="H22" s="111"/>
      <c r="I22" s="112"/>
      <c r="J22" s="114"/>
      <c r="K22" s="105"/>
      <c r="L22" s="105"/>
      <c r="M22" s="83"/>
      <c r="N22" s="83"/>
      <c r="O22" s="83"/>
      <c r="P22" s="83"/>
      <c r="Q22" s="83"/>
      <c r="R22" s="83"/>
      <c r="S22" s="83"/>
      <c r="T22" s="83"/>
      <c r="U22" s="83"/>
    </row>
    <row r="23" spans="1:21" ht="22.5">
      <c r="A23" s="116"/>
      <c r="B23" s="106" t="e">
        <f>#REF!</f>
        <v>#REF!</v>
      </c>
      <c r="C23" s="107" t="e">
        <f>#REF!</f>
        <v>#REF!</v>
      </c>
      <c r="D23" s="108" t="e">
        <f>#REF!</f>
        <v>#REF!</v>
      </c>
      <c r="E23" s="109"/>
      <c r="F23" s="110" t="e">
        <f t="shared" si="0"/>
        <v>#REF!</v>
      </c>
      <c r="G23" s="115"/>
      <c r="H23" s="111"/>
      <c r="I23" s="112"/>
      <c r="J23" s="114"/>
      <c r="K23" s="105"/>
      <c r="L23" s="105"/>
      <c r="M23" s="83"/>
      <c r="N23" s="83"/>
      <c r="O23" s="83"/>
      <c r="P23" s="83"/>
      <c r="Q23" s="83"/>
      <c r="R23" s="83"/>
      <c r="S23" s="83"/>
      <c r="T23" s="83"/>
      <c r="U23" s="83"/>
    </row>
    <row r="24" spans="1:21" ht="22.5">
      <c r="A24" s="113"/>
      <c r="B24" s="106" t="e">
        <f>#REF!</f>
        <v>#REF!</v>
      </c>
      <c r="C24" s="107" t="e">
        <f>#REF!</f>
        <v>#REF!</v>
      </c>
      <c r="D24" s="108" t="e">
        <f>#REF!</f>
        <v>#REF!</v>
      </c>
      <c r="E24" s="109"/>
      <c r="F24" s="110" t="e">
        <f t="shared" si="0"/>
        <v>#REF!</v>
      </c>
      <c r="G24" s="111"/>
      <c r="H24" s="111"/>
      <c r="I24" s="112"/>
      <c r="J24" s="114"/>
      <c r="K24" s="105"/>
      <c r="L24" s="105"/>
      <c r="M24" s="83"/>
      <c r="N24" s="83"/>
      <c r="O24" s="83"/>
      <c r="P24" s="83"/>
      <c r="Q24" s="83"/>
      <c r="R24" s="83"/>
      <c r="S24" s="83"/>
      <c r="T24" s="83"/>
      <c r="U24" s="83"/>
    </row>
    <row r="25" spans="1:21" ht="22.5">
      <c r="A25" s="113"/>
      <c r="B25" s="106" t="e">
        <f>#REF!</f>
        <v>#REF!</v>
      </c>
      <c r="C25" s="107" t="e">
        <f>#REF!</f>
        <v>#REF!</v>
      </c>
      <c r="D25" s="108" t="e">
        <f>#REF!</f>
        <v>#REF!</v>
      </c>
      <c r="E25" s="109"/>
      <c r="F25" s="110" t="e">
        <f t="shared" si="0"/>
        <v>#REF!</v>
      </c>
      <c r="G25" s="111"/>
      <c r="H25" s="111"/>
      <c r="I25" s="112"/>
      <c r="J25" s="114"/>
      <c r="K25" s="105"/>
      <c r="L25" s="105"/>
      <c r="M25" s="83"/>
      <c r="N25" s="83"/>
      <c r="O25" s="83"/>
      <c r="P25" s="83"/>
      <c r="Q25" s="83"/>
      <c r="R25" s="83"/>
      <c r="S25" s="83"/>
      <c r="T25" s="83"/>
      <c r="U25" s="83"/>
    </row>
    <row r="26" spans="1:21" ht="22.5">
      <c r="A26" s="116"/>
      <c r="B26" s="106" t="e">
        <f>#REF!</f>
        <v>#REF!</v>
      </c>
      <c r="C26" s="107" t="e">
        <f>#REF!</f>
        <v>#REF!</v>
      </c>
      <c r="D26" s="108" t="e">
        <f>#REF!</f>
        <v>#REF!</v>
      </c>
      <c r="E26" s="109"/>
      <c r="F26" s="110" t="e">
        <f t="shared" si="0"/>
        <v>#REF!</v>
      </c>
      <c r="G26" s="115"/>
      <c r="H26" s="111"/>
      <c r="I26" s="112"/>
      <c r="J26" s="114"/>
      <c r="K26" s="105"/>
      <c r="L26" s="105"/>
      <c r="M26" s="83"/>
      <c r="N26" s="83"/>
      <c r="O26" s="83"/>
      <c r="P26" s="83"/>
      <c r="Q26" s="83"/>
      <c r="R26" s="83"/>
      <c r="S26" s="83"/>
      <c r="T26" s="83"/>
      <c r="U26" s="83"/>
    </row>
    <row r="27" spans="1:21" ht="22.5">
      <c r="A27" s="113"/>
      <c r="B27" s="106" t="e">
        <f>#REF!</f>
        <v>#REF!</v>
      </c>
      <c r="C27" s="107" t="e">
        <f>#REF!</f>
        <v>#REF!</v>
      </c>
      <c r="D27" s="108" t="e">
        <f>#REF!</f>
        <v>#REF!</v>
      </c>
      <c r="E27" s="109"/>
      <c r="F27" s="110" t="e">
        <f t="shared" si="0"/>
        <v>#REF!</v>
      </c>
      <c r="G27" s="111"/>
      <c r="H27" s="111"/>
      <c r="I27" s="112"/>
      <c r="J27" s="114"/>
      <c r="K27" s="105"/>
      <c r="L27" s="105"/>
      <c r="M27" s="83"/>
      <c r="N27" s="83"/>
      <c r="O27" s="83"/>
      <c r="P27" s="83"/>
      <c r="Q27" s="83"/>
      <c r="R27" s="83"/>
      <c r="S27" s="83"/>
      <c r="T27" s="83"/>
      <c r="U27" s="83"/>
    </row>
    <row r="28" spans="1:21" ht="22.5">
      <c r="A28" s="113"/>
      <c r="B28" s="106" t="e">
        <f>#REF!</f>
        <v>#REF!</v>
      </c>
      <c r="C28" s="107" t="e">
        <f>#REF!</f>
        <v>#REF!</v>
      </c>
      <c r="D28" s="108" t="e">
        <f>#REF!</f>
        <v>#REF!</v>
      </c>
      <c r="E28" s="109"/>
      <c r="F28" s="110" t="e">
        <f t="shared" si="0"/>
        <v>#REF!</v>
      </c>
      <c r="G28" s="111"/>
      <c r="H28" s="111"/>
      <c r="I28" s="112"/>
      <c r="J28" s="114"/>
      <c r="K28" s="105"/>
      <c r="L28" s="105"/>
      <c r="M28" s="83"/>
      <c r="N28" s="83"/>
      <c r="O28" s="83"/>
      <c r="P28" s="83"/>
      <c r="Q28" s="83"/>
      <c r="R28" s="83"/>
      <c r="S28" s="83"/>
      <c r="T28" s="83"/>
      <c r="U28" s="83"/>
    </row>
    <row r="29" spans="1:21" ht="22.5">
      <c r="A29" s="113"/>
      <c r="B29" s="106" t="e">
        <f>#REF!</f>
        <v>#REF!</v>
      </c>
      <c r="C29" s="107" t="e">
        <f>#REF!</f>
        <v>#REF!</v>
      </c>
      <c r="D29" s="108" t="e">
        <f>#REF!</f>
        <v>#REF!</v>
      </c>
      <c r="E29" s="109"/>
      <c r="F29" s="110" t="e">
        <f t="shared" si="0"/>
        <v>#REF!</v>
      </c>
      <c r="G29" s="111"/>
      <c r="H29" s="111"/>
      <c r="I29" s="112"/>
      <c r="J29" s="114"/>
      <c r="K29" s="105"/>
      <c r="L29" s="105"/>
      <c r="M29" s="83"/>
      <c r="N29" s="83"/>
      <c r="O29" s="83"/>
      <c r="P29" s="83"/>
      <c r="Q29" s="83"/>
      <c r="R29" s="83"/>
      <c r="S29" s="83"/>
      <c r="T29" s="83"/>
      <c r="U29" s="83"/>
    </row>
    <row r="30" spans="1:21" ht="22.5">
      <c r="A30" s="113"/>
      <c r="B30" s="106" t="e">
        <f>#REF!</f>
        <v>#REF!</v>
      </c>
      <c r="C30" s="107" t="e">
        <f>#REF!</f>
        <v>#REF!</v>
      </c>
      <c r="D30" s="108" t="e">
        <f>#REF!</f>
        <v>#REF!</v>
      </c>
      <c r="E30" s="109"/>
      <c r="F30" s="110" t="e">
        <f t="shared" si="0"/>
        <v>#REF!</v>
      </c>
      <c r="G30" s="111"/>
      <c r="H30" s="111"/>
      <c r="I30" s="112"/>
      <c r="J30" s="114"/>
      <c r="K30" s="105"/>
      <c r="L30" s="105"/>
      <c r="M30" s="83"/>
      <c r="N30" s="83"/>
      <c r="O30" s="83"/>
      <c r="P30" s="83"/>
      <c r="Q30" s="83"/>
      <c r="R30" s="83"/>
      <c r="S30" s="83"/>
      <c r="T30" s="83"/>
      <c r="U30" s="83"/>
    </row>
    <row r="31" spans="1:21" ht="22.5">
      <c r="A31" s="113"/>
      <c r="B31" s="106" t="e">
        <f>#REF!</f>
        <v>#REF!</v>
      </c>
      <c r="C31" s="107" t="e">
        <f>#REF!</f>
        <v>#REF!</v>
      </c>
      <c r="D31" s="108" t="e">
        <f>#REF!</f>
        <v>#REF!</v>
      </c>
      <c r="E31" s="109"/>
      <c r="F31" s="110" t="e">
        <f t="shared" si="0"/>
        <v>#REF!</v>
      </c>
      <c r="G31" s="111"/>
      <c r="H31" s="111"/>
      <c r="I31" s="112"/>
      <c r="J31" s="114"/>
      <c r="K31" s="105"/>
      <c r="L31" s="105"/>
      <c r="M31" s="83"/>
      <c r="N31" s="83"/>
      <c r="O31" s="83"/>
      <c r="P31" s="83"/>
      <c r="Q31" s="83"/>
      <c r="R31" s="83"/>
      <c r="S31" s="83"/>
      <c r="T31" s="83"/>
      <c r="U31" s="83"/>
    </row>
    <row r="32" spans="1:21" ht="22.5">
      <c r="A32" s="113"/>
      <c r="B32" s="106" t="e">
        <f>#REF!</f>
        <v>#REF!</v>
      </c>
      <c r="C32" s="107" t="e">
        <f>#REF!</f>
        <v>#REF!</v>
      </c>
      <c r="D32" s="108" t="e">
        <f>#REF!</f>
        <v>#REF!</v>
      </c>
      <c r="E32" s="109"/>
      <c r="F32" s="110" t="e">
        <f t="shared" si="0"/>
        <v>#REF!</v>
      </c>
      <c r="G32" s="111"/>
      <c r="H32" s="111"/>
      <c r="I32" s="112"/>
      <c r="J32" s="114"/>
      <c r="K32" s="105"/>
      <c r="L32" s="105"/>
      <c r="M32" s="83"/>
      <c r="N32" s="83"/>
      <c r="O32" s="83"/>
      <c r="P32" s="83"/>
      <c r="Q32" s="83"/>
      <c r="R32" s="83"/>
      <c r="S32" s="83"/>
      <c r="T32" s="83"/>
      <c r="U32" s="83"/>
    </row>
    <row r="33" spans="2:21" ht="18.75" thickBot="1">
      <c r="B33" s="117"/>
      <c r="C33" s="118"/>
      <c r="D33" s="119"/>
      <c r="E33" s="120"/>
      <c r="F33" s="121"/>
      <c r="G33" s="122"/>
      <c r="H33" s="122"/>
      <c r="I33" s="83"/>
      <c r="J33" s="84"/>
      <c r="K33" s="105"/>
      <c r="L33" s="105"/>
      <c r="M33" s="83"/>
      <c r="N33" s="83"/>
      <c r="O33" s="83"/>
      <c r="P33" s="83"/>
      <c r="Q33" s="83"/>
      <c r="R33" s="83"/>
      <c r="S33" s="83"/>
      <c r="T33" s="83"/>
      <c r="U33" s="83"/>
    </row>
    <row r="34" spans="2:21" ht="27" thickTop="1" thickBot="1">
      <c r="B34" s="590"/>
      <c r="C34" s="590"/>
      <c r="D34" s="123" t="e">
        <f>SUM(D13:D33)</f>
        <v>#REF!</v>
      </c>
      <c r="E34" s="124">
        <f>SUM(E13:E33)</f>
        <v>0</v>
      </c>
      <c r="F34" s="125" t="e">
        <f>SUM(F13:F33)</f>
        <v>#REF!</v>
      </c>
      <c r="G34" s="126"/>
      <c r="H34" s="126"/>
      <c r="I34" s="83"/>
      <c r="J34" s="127"/>
      <c r="K34" s="128"/>
      <c r="L34" s="105"/>
      <c r="M34" s="83"/>
      <c r="N34" s="83"/>
      <c r="O34" s="83"/>
      <c r="P34" s="83"/>
      <c r="Q34" s="83"/>
      <c r="R34" s="83"/>
      <c r="S34" s="83"/>
      <c r="T34" s="83"/>
      <c r="U34" s="83"/>
    </row>
    <row r="35" spans="2:21" ht="18.75" thickTop="1">
      <c r="B35" s="129"/>
      <c r="C35" s="130"/>
      <c r="D35" s="129"/>
      <c r="E35" s="129"/>
      <c r="F35" s="131"/>
      <c r="G35" s="129"/>
      <c r="H35" s="129"/>
      <c r="I35" s="129"/>
      <c r="J35" s="132"/>
      <c r="K35" s="129"/>
      <c r="L35" s="129"/>
      <c r="M35" s="129"/>
      <c r="N35" s="83"/>
      <c r="O35" s="83"/>
      <c r="P35" s="83"/>
      <c r="Q35" s="83"/>
      <c r="R35" s="83"/>
      <c r="S35" s="83"/>
      <c r="T35" s="83"/>
      <c r="U35" s="83"/>
    </row>
    <row r="36" spans="2:21" ht="22.5">
      <c r="B36" s="133"/>
      <c r="C36" s="134"/>
      <c r="D36" s="135" t="e">
        <f>IF(D34='Procurement Estimate'!#REF!,"CHECKED","ERROR")</f>
        <v>#REF!</v>
      </c>
      <c r="E36" s="136"/>
      <c r="F36" s="137"/>
      <c r="G36" s="137"/>
      <c r="H36" s="137"/>
      <c r="I36" s="83"/>
      <c r="J36" s="84"/>
      <c r="K36" s="83"/>
      <c r="L36" s="83"/>
      <c r="M36" s="83"/>
      <c r="N36" s="83"/>
      <c r="O36" s="83"/>
      <c r="P36" s="83"/>
      <c r="Q36" s="83"/>
      <c r="R36" s="83"/>
      <c r="S36" s="83"/>
      <c r="T36" s="83"/>
      <c r="U36" s="83"/>
    </row>
    <row r="37" spans="2:21" ht="15.75">
      <c r="B37" s="133"/>
      <c r="C37" s="134"/>
      <c r="D37" s="138"/>
      <c r="E37" s="138"/>
      <c r="F37" s="139"/>
      <c r="G37" s="138"/>
      <c r="H37" s="138"/>
      <c r="I37" s="83"/>
      <c r="J37" s="84"/>
      <c r="K37" s="83"/>
      <c r="L37" s="83"/>
      <c r="M37" s="83"/>
      <c r="N37" s="83"/>
      <c r="O37" s="83"/>
      <c r="P37" s="83"/>
      <c r="Q37" s="83"/>
      <c r="R37" s="83"/>
      <c r="S37" s="83"/>
      <c r="T37" s="83"/>
      <c r="U37" s="83"/>
    </row>
    <row r="38" spans="2:21" ht="15.75">
      <c r="B38" s="133"/>
      <c r="C38" s="134"/>
      <c r="D38" s="136"/>
      <c r="E38" s="136"/>
      <c r="F38" s="137"/>
      <c r="G38" s="136"/>
      <c r="H38" s="136"/>
      <c r="I38" s="83"/>
      <c r="J38" s="84"/>
      <c r="K38" s="83"/>
      <c r="L38" s="83"/>
      <c r="M38" s="83"/>
      <c r="N38" s="83"/>
      <c r="O38" s="83"/>
      <c r="P38" s="83"/>
      <c r="Q38" s="83"/>
      <c r="R38" s="83"/>
      <c r="S38" s="83"/>
      <c r="T38" s="83"/>
      <c r="U38" s="83"/>
    </row>
    <row r="39" spans="2:21" ht="15.75">
      <c r="B39" s="133"/>
      <c r="C39" s="134"/>
      <c r="D39" s="136"/>
      <c r="E39" s="136"/>
      <c r="F39" s="137"/>
      <c r="G39" s="136"/>
      <c r="H39" s="136"/>
      <c r="I39" s="83"/>
      <c r="J39" s="84"/>
      <c r="K39" s="83"/>
      <c r="L39" s="83"/>
      <c r="M39" s="83"/>
      <c r="N39" s="83"/>
      <c r="O39" s="83"/>
      <c r="P39" s="83"/>
      <c r="Q39" s="83"/>
      <c r="R39" s="83"/>
      <c r="S39" s="83"/>
      <c r="T39" s="83"/>
      <c r="U39" s="83"/>
    </row>
    <row r="40" spans="2:21" ht="15.75">
      <c r="B40" s="133"/>
      <c r="C40" s="134"/>
      <c r="D40" s="136"/>
      <c r="E40" s="136"/>
      <c r="F40" s="137"/>
      <c r="G40" s="136"/>
      <c r="H40" s="136"/>
      <c r="I40" s="83"/>
      <c r="J40" s="84"/>
      <c r="K40" s="83"/>
      <c r="L40" s="83"/>
      <c r="M40" s="83"/>
      <c r="N40" s="83"/>
      <c r="O40" s="83"/>
      <c r="P40" s="83"/>
      <c r="Q40" s="83"/>
      <c r="R40" s="83"/>
      <c r="S40" s="83"/>
      <c r="T40" s="83"/>
      <c r="U40" s="83"/>
    </row>
    <row r="41" spans="2:21" ht="15.75">
      <c r="B41" s="133"/>
      <c r="C41" s="134"/>
      <c r="D41" s="136"/>
      <c r="E41" s="136"/>
      <c r="F41" s="137"/>
      <c r="G41" s="136"/>
      <c r="H41" s="136"/>
      <c r="I41" s="83"/>
      <c r="J41" s="84"/>
      <c r="K41" s="83"/>
      <c r="L41" s="83"/>
      <c r="M41" s="83"/>
      <c r="N41" s="83"/>
      <c r="O41" s="83"/>
      <c r="P41" s="83"/>
      <c r="Q41" s="83"/>
      <c r="R41" s="83"/>
      <c r="S41" s="83"/>
      <c r="T41" s="83"/>
      <c r="U41" s="83"/>
    </row>
    <row r="42" spans="2:21" ht="15.75">
      <c r="B42" s="133"/>
      <c r="C42" s="134"/>
      <c r="D42" s="136"/>
      <c r="E42" s="136"/>
      <c r="F42" s="137"/>
      <c r="G42" s="136"/>
      <c r="H42" s="136"/>
      <c r="I42" s="83"/>
      <c r="J42" s="84"/>
      <c r="K42" s="83"/>
      <c r="L42" s="83"/>
      <c r="M42" s="83"/>
      <c r="N42" s="83"/>
      <c r="O42" s="83"/>
      <c r="P42" s="83"/>
      <c r="Q42" s="83"/>
      <c r="R42" s="83"/>
      <c r="S42" s="83"/>
      <c r="T42" s="83"/>
      <c r="U42" s="83"/>
    </row>
    <row r="43" spans="2:21" ht="15.75">
      <c r="B43" s="133"/>
      <c r="C43" s="134"/>
      <c r="D43" s="136"/>
      <c r="E43" s="136"/>
      <c r="F43" s="137"/>
      <c r="G43" s="136"/>
      <c r="H43" s="136"/>
      <c r="I43" s="83"/>
      <c r="J43" s="84"/>
      <c r="K43" s="83"/>
      <c r="L43" s="83"/>
      <c r="M43" s="83"/>
      <c r="N43" s="83"/>
      <c r="O43" s="83"/>
      <c r="P43" s="83"/>
      <c r="Q43" s="83"/>
      <c r="R43" s="83"/>
      <c r="S43" s="83"/>
      <c r="T43" s="83"/>
      <c r="U43" s="83"/>
    </row>
    <row r="44" spans="2:21" ht="15.75">
      <c r="B44" s="133"/>
      <c r="C44" s="134"/>
      <c r="D44" s="136"/>
      <c r="E44" s="136"/>
      <c r="F44" s="137"/>
      <c r="G44" s="136"/>
      <c r="H44" s="136"/>
      <c r="I44" s="83"/>
      <c r="J44" s="84"/>
      <c r="K44" s="83"/>
      <c r="L44" s="83"/>
      <c r="M44" s="83"/>
      <c r="N44" s="83"/>
      <c r="O44" s="83"/>
      <c r="P44" s="83"/>
      <c r="Q44" s="83"/>
      <c r="R44" s="83"/>
      <c r="S44" s="83"/>
      <c r="T44" s="83"/>
      <c r="U44" s="83"/>
    </row>
    <row r="45" spans="2:21" ht="15.75">
      <c r="B45" s="133"/>
      <c r="C45" s="134"/>
      <c r="D45" s="136"/>
      <c r="E45" s="136"/>
      <c r="F45" s="137"/>
      <c r="G45" s="136"/>
      <c r="H45" s="136"/>
      <c r="I45" s="83"/>
      <c r="J45" s="84"/>
      <c r="K45" s="83"/>
      <c r="L45" s="83"/>
      <c r="M45" s="83"/>
      <c r="N45" s="83"/>
      <c r="O45" s="83"/>
      <c r="P45" s="83"/>
      <c r="Q45" s="83"/>
      <c r="R45" s="83"/>
      <c r="S45" s="83"/>
      <c r="T45" s="83"/>
      <c r="U45" s="83"/>
    </row>
    <row r="46" spans="2:21" ht="15.75">
      <c r="B46" s="133"/>
      <c r="C46" s="134"/>
      <c r="D46" s="136"/>
      <c r="E46" s="136"/>
      <c r="F46" s="137"/>
      <c r="G46" s="136"/>
      <c r="H46" s="136"/>
      <c r="I46" s="83"/>
      <c r="J46" s="84"/>
      <c r="K46" s="83"/>
      <c r="L46" s="83"/>
      <c r="M46" s="83"/>
      <c r="N46" s="83"/>
      <c r="O46" s="83"/>
      <c r="P46" s="83"/>
      <c r="Q46" s="83"/>
      <c r="R46" s="83"/>
      <c r="S46" s="83"/>
      <c r="T46" s="83"/>
      <c r="U46" s="83"/>
    </row>
    <row r="47" spans="2:21" ht="15.75">
      <c r="B47" s="133"/>
      <c r="C47" s="134"/>
      <c r="D47" s="136"/>
      <c r="E47" s="136"/>
      <c r="F47" s="137"/>
      <c r="G47" s="136"/>
      <c r="H47" s="136"/>
      <c r="I47" s="83"/>
      <c r="J47" s="84"/>
      <c r="K47" s="83"/>
      <c r="L47" s="83"/>
      <c r="M47" s="83"/>
      <c r="N47" s="83"/>
      <c r="O47" s="83"/>
      <c r="P47" s="83"/>
      <c r="Q47" s="83"/>
      <c r="R47" s="83"/>
      <c r="S47" s="83"/>
      <c r="T47" s="83"/>
      <c r="U47" s="83"/>
    </row>
    <row r="48" spans="2:21" ht="15.75">
      <c r="B48" s="140"/>
      <c r="C48" s="141"/>
      <c r="D48" s="133"/>
      <c r="E48" s="142"/>
      <c r="F48" s="133"/>
      <c r="G48" s="133"/>
      <c r="H48" s="133"/>
      <c r="I48" s="83"/>
      <c r="J48" s="84"/>
      <c r="K48" s="83"/>
      <c r="L48" s="83"/>
      <c r="M48" s="83"/>
      <c r="N48" s="83"/>
      <c r="O48" s="83"/>
      <c r="P48" s="83"/>
      <c r="Q48" s="83"/>
      <c r="R48" s="83"/>
      <c r="S48" s="83"/>
      <c r="T48" s="83"/>
      <c r="U48" s="83"/>
    </row>
    <row r="49" spans="2:21" ht="15.75">
      <c r="B49" s="140"/>
      <c r="C49" s="141"/>
      <c r="D49" s="133"/>
      <c r="E49" s="142"/>
      <c r="F49" s="133"/>
      <c r="G49" s="133"/>
      <c r="H49" s="133"/>
      <c r="I49" s="83"/>
      <c r="J49" s="84"/>
      <c r="K49" s="83"/>
      <c r="L49" s="83"/>
      <c r="M49" s="83"/>
      <c r="N49" s="83"/>
      <c r="O49" s="83"/>
      <c r="P49" s="83"/>
      <c r="Q49" s="83"/>
      <c r="R49" s="83"/>
      <c r="S49" s="83"/>
      <c r="T49" s="83"/>
      <c r="U49" s="83"/>
    </row>
    <row r="50" spans="2:21">
      <c r="B50" s="467"/>
      <c r="C50" s="468"/>
      <c r="D50" s="469" t="s">
        <v>65</v>
      </c>
      <c r="E50" s="469" t="s">
        <v>65</v>
      </c>
      <c r="F50" s="143" t="s">
        <v>65</v>
      </c>
      <c r="G50" s="469" t="s">
        <v>65</v>
      </c>
      <c r="H50" s="469" t="s">
        <v>65</v>
      </c>
    </row>
    <row r="51" spans="2:21">
      <c r="B51" s="467"/>
      <c r="C51" s="468"/>
      <c r="D51" s="469" t="s">
        <v>65</v>
      </c>
      <c r="E51" s="469" t="s">
        <v>65</v>
      </c>
      <c r="F51" s="143" t="s">
        <v>65</v>
      </c>
      <c r="G51" s="469" t="s">
        <v>65</v>
      </c>
      <c r="H51" s="469" t="s">
        <v>65</v>
      </c>
    </row>
    <row r="52" spans="2:21">
      <c r="B52" s="467"/>
      <c r="C52" s="468"/>
      <c r="D52" s="469" t="s">
        <v>65</v>
      </c>
      <c r="E52" s="469" t="s">
        <v>65</v>
      </c>
      <c r="F52" s="143" t="s">
        <v>65</v>
      </c>
      <c r="G52" s="469" t="s">
        <v>65</v>
      </c>
      <c r="H52" s="469" t="s">
        <v>65</v>
      </c>
    </row>
    <row r="53" spans="2:21">
      <c r="B53" s="467"/>
      <c r="C53" s="468"/>
      <c r="D53" s="143"/>
      <c r="E53" s="469"/>
      <c r="F53" s="143"/>
      <c r="G53" s="143"/>
      <c r="H53" s="143"/>
    </row>
  </sheetData>
  <customSheetViews>
    <customSheetView guid="{44AE2428-6D29-41CE-8BE6-3A12B4ABC13E}" scale="65" showPageBreaks="1" fitToPage="1" state="hidden" view="pageBreakPreview" showRuler="0" topLeftCell="A7">
      <pane ySplit="6" topLeftCell="A13" activePane="bottomLeft" state="frozen"/>
      <selection pane="bottomLeft" activeCell="C36" sqref="C36"/>
      <pageMargins left="0" right="0" top="0" bottom="0" header="0" footer="0"/>
      <printOptions horizontalCentered="1"/>
      <pageSetup scale="44" firstPageNumber="2" orientation="portrait" useFirstPageNumber="1" horizontalDpi="300" verticalDpi="300" r:id="rId1"/>
      <headerFooter alignWithMargins="0"/>
    </customSheetView>
    <customSheetView guid="{C99F132B-0D33-4B4E-8A4C-0DE2B6C7BABE}" scale="65" showPageBreaks="1" fitToPage="1" state="hidden" view="pageBreakPreview" showRuler="0" topLeftCell="A7">
      <pane ySplit="6" topLeftCell="A13" activePane="bottomLeft" state="frozen"/>
      <selection pane="bottomLeft" activeCell="C36" sqref="C36"/>
      <pageMargins left="0" right="0" top="0" bottom="0" header="0" footer="0"/>
      <printOptions horizontalCentered="1"/>
      <pageSetup scale="44" firstPageNumber="2" orientation="portrait" useFirstPageNumber="1" horizontalDpi="300" verticalDpi="300" r:id="rId2"/>
      <headerFooter alignWithMargins="0"/>
    </customSheetView>
    <customSheetView guid="{250C47CD-C951-45B0-85B8-EF6851D1622A}" scale="65" showPageBreaks="1" fitToPage="1" state="hidden" view="pageBreakPreview" showRuler="0" topLeftCell="A7">
      <pane ySplit="6" topLeftCell="A13" activePane="bottomLeft" state="frozen"/>
      <selection pane="bottomLeft" activeCell="C36" sqref="C36"/>
      <pageMargins left="0" right="0" top="0" bottom="0" header="0" footer="0"/>
      <printOptions horizontalCentered="1"/>
      <pageSetup scale="44" firstPageNumber="2" orientation="portrait" useFirstPageNumber="1" horizontalDpi="300" verticalDpi="300" r:id="rId3"/>
      <headerFooter alignWithMargins="0"/>
    </customSheetView>
    <customSheetView guid="{F9B0E021-530B-4D97-A767-F06D45031BB4}" scale="65" showPageBreaks="1" fitToPage="1" printArea="1" state="hidden" view="pageBreakPreview" topLeftCell="A7">
      <pane ySplit="6" topLeftCell="A13" activePane="bottomLeft" state="frozen"/>
      <selection pane="bottomLeft" activeCell="C36" sqref="C36"/>
      <pageMargins left="0" right="0" top="0" bottom="0" header="0" footer="0"/>
      <printOptions horizontalCentered="1"/>
      <pageSetup scale="45" firstPageNumber="2" orientation="portrait" useFirstPageNumber="1" horizontalDpi="300" verticalDpi="300" r:id="rId4"/>
      <headerFooter alignWithMargins="0"/>
    </customSheetView>
    <customSheetView guid="{F1A6D050-DA21-4A77-B24F-7B069B700D3A}" scale="65" showPageBreaks="1" fitToPage="1" state="hidden" view="pageBreakPreview" topLeftCell="A7">
      <pane ySplit="6" topLeftCell="A13" activePane="bottomLeft" state="frozen"/>
      <selection pane="bottomLeft" activeCell="C36" sqref="C36"/>
      <pageMargins left="0" right="0" top="0" bottom="0" header="0" footer="0"/>
      <printOptions horizontalCentered="1"/>
      <pageSetup scale="44" firstPageNumber="2" orientation="portrait" useFirstPageNumber="1" horizontalDpi="300" verticalDpi="300" r:id="rId5"/>
      <headerFooter alignWithMargins="0"/>
    </customSheetView>
  </customSheetViews>
  <mergeCells count="4">
    <mergeCell ref="B7:H7"/>
    <mergeCell ref="B34:C34"/>
    <mergeCell ref="C10:C12"/>
    <mergeCell ref="B10:B12"/>
  </mergeCells>
  <phoneticPr fontId="0" type="noConversion"/>
  <conditionalFormatting sqref="D37 F37:H37 G18 G26 G23 A23 A26 H14:H32">
    <cfRule type="cellIs" dxfId="201" priority="1" stopIfTrue="1" operator="lessThan">
      <formula>0</formula>
    </cfRule>
  </conditionalFormatting>
  <conditionalFormatting sqref="E1:E1048576">
    <cfRule type="cellIs" dxfId="200" priority="2" stopIfTrue="1" operator="greaterThanOrEqual">
      <formula>0</formula>
    </cfRule>
  </conditionalFormatting>
  <printOptions horizontalCentered="1"/>
  <pageMargins left="0.25" right="0.25" top="0.25" bottom="0.5" header="0.25" footer="0.5"/>
  <pageSetup scale="42" firstPageNumber="2" orientation="portrait" useFirstPageNumber="1" horizontalDpi="300" verticalDpi="300" r:id="rId6"/>
  <headerFooter alignWithMargins="0"/>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19"/>
  <sheetViews>
    <sheetView showRuler="0" zoomScaleNormal="100" workbookViewId="0">
      <pane ySplit="6" topLeftCell="A7" activePane="bottomLeft" state="frozen"/>
      <selection pane="bottomLeft" activeCell="C7" sqref="C7"/>
    </sheetView>
  </sheetViews>
  <sheetFormatPr defaultRowHeight="12.75"/>
  <cols>
    <col min="1" max="1" width="10.7109375" style="83" customWidth="1"/>
    <col min="2" max="2" width="44.5703125" style="83" customWidth="1"/>
    <col min="3" max="3" width="12.28515625" style="83" customWidth="1"/>
    <col min="4" max="4" width="17.7109375" style="73" hidden="1" customWidth="1"/>
    <col min="5" max="6" width="17.7109375" style="73" customWidth="1"/>
    <col min="7" max="16384" width="9.140625" style="83"/>
  </cols>
  <sheetData>
    <row r="1" spans="1:6" ht="18">
      <c r="A1" s="294" t="s">
        <v>804</v>
      </c>
    </row>
    <row r="2" spans="1:6" ht="15.75">
      <c r="A2" s="258"/>
    </row>
    <row r="3" spans="1:6" ht="15.75">
      <c r="A3" s="258" t="s">
        <v>803</v>
      </c>
    </row>
    <row r="4" spans="1:6" ht="15.75">
      <c r="A4" s="594" t="s">
        <v>66</v>
      </c>
      <c r="B4" s="595"/>
      <c r="C4" s="534"/>
    </row>
    <row r="6" spans="1:6" ht="14.25">
      <c r="A6" s="306" t="s">
        <v>67</v>
      </c>
      <c r="B6" s="307" t="s">
        <v>8</v>
      </c>
      <c r="C6" s="307" t="s">
        <v>68</v>
      </c>
      <c r="D6" s="307" t="s">
        <v>69</v>
      </c>
      <c r="E6" s="308" t="s">
        <v>70</v>
      </c>
      <c r="F6" s="308" t="s">
        <v>805</v>
      </c>
    </row>
    <row r="7" spans="1:6">
      <c r="A7" s="296">
        <v>1</v>
      </c>
      <c r="B7" s="295" t="str">
        <f>'Procurement Estimate'!B4</f>
        <v>GENERAL REQUIREMENTS</v>
      </c>
      <c r="C7" s="309"/>
      <c r="D7" s="317"/>
      <c r="E7" s="317"/>
      <c r="F7" s="317"/>
    </row>
    <row r="8" spans="1:6">
      <c r="A8" s="296">
        <v>3</v>
      </c>
      <c r="B8" s="295" t="str">
        <f>'Procurement Estimate'!B16</f>
        <v>CIP CONCRETE</v>
      </c>
      <c r="C8" s="309"/>
      <c r="D8" s="317"/>
      <c r="E8" s="317"/>
      <c r="F8" s="317"/>
    </row>
    <row r="9" spans="1:6">
      <c r="A9" s="296">
        <v>5</v>
      </c>
      <c r="B9" s="295" t="str">
        <f>'Procurement Estimate'!B49</f>
        <v>STRUCTURAL STEEL</v>
      </c>
      <c r="C9" s="309"/>
      <c r="D9" s="317"/>
      <c r="E9" s="317"/>
      <c r="F9" s="317"/>
    </row>
    <row r="10" spans="1:6">
      <c r="A10" s="296">
        <v>6</v>
      </c>
      <c r="B10" s="295" t="str">
        <f>'Procurement Estimate'!B96</f>
        <v>WOOD STRUCTURE</v>
      </c>
      <c r="C10" s="309"/>
      <c r="D10" s="317"/>
      <c r="E10" s="317"/>
      <c r="F10" s="317"/>
    </row>
    <row r="11" spans="1:6">
      <c r="A11" s="296" t="s">
        <v>788</v>
      </c>
      <c r="B11" s="295" t="str">
        <f>'Procurement Estimate'!B126</f>
        <v>DRYWALL</v>
      </c>
      <c r="C11" s="309"/>
      <c r="D11" s="317"/>
      <c r="E11" s="317"/>
      <c r="F11" s="317"/>
    </row>
    <row r="12" spans="1:6">
      <c r="A12" s="296" t="s">
        <v>790</v>
      </c>
      <c r="B12" s="295" t="str">
        <f>'Procurement Estimate'!B147</f>
        <v>CEILINGS</v>
      </c>
      <c r="C12" s="309"/>
      <c r="D12" s="317"/>
      <c r="E12" s="317"/>
      <c r="F12" s="317"/>
    </row>
    <row r="13" spans="1:6">
      <c r="A13" s="296" t="s">
        <v>792</v>
      </c>
      <c r="B13" s="295" t="str">
        <f>'Procurement Estimate'!B159</f>
        <v>INTERIOR PAINT</v>
      </c>
      <c r="C13" s="309"/>
      <c r="D13" s="317"/>
      <c r="E13" s="317"/>
      <c r="F13" s="317"/>
    </row>
    <row r="14" spans="1:6">
      <c r="A14" s="296">
        <v>7</v>
      </c>
      <c r="B14" s="295" t="str">
        <f>'Procurement Estimate'!B116</f>
        <v>INSULATION</v>
      </c>
      <c r="C14" s="309"/>
      <c r="D14" s="317"/>
      <c r="E14" s="317"/>
      <c r="F14" s="317"/>
    </row>
    <row r="15" spans="1:6">
      <c r="A15" s="296" t="s">
        <v>793</v>
      </c>
      <c r="B15" s="295" t="str">
        <f>'Procurement Estimate'!B182</f>
        <v>PV INVERTER</v>
      </c>
      <c r="C15" s="309"/>
      <c r="D15" s="317"/>
      <c r="E15" s="317"/>
      <c r="F15" s="317"/>
    </row>
    <row r="16" spans="1:6">
      <c r="A16" s="296" t="s">
        <v>794</v>
      </c>
      <c r="B16" s="295" t="str">
        <f>'Procurement Estimate'!B192</f>
        <v>PV BATTERY</v>
      </c>
      <c r="C16" s="309"/>
      <c r="D16" s="317"/>
      <c r="E16" s="317"/>
      <c r="F16" s="317"/>
    </row>
    <row r="17" spans="1:6">
      <c r="A17" s="296"/>
      <c r="B17" s="530" t="s">
        <v>71</v>
      </c>
      <c r="C17" s="309">
        <f>SUM(C7:C16)</f>
        <v>0</v>
      </c>
      <c r="D17" s="317"/>
      <c r="E17" s="531" t="s">
        <v>72</v>
      </c>
      <c r="F17" s="309">
        <f>SUM(F7:F16)</f>
        <v>0</v>
      </c>
    </row>
    <row r="19" spans="1:6">
      <c r="E19" s="532" t="s">
        <v>73</v>
      </c>
      <c r="F19" s="533">
        <f>C17-F17</f>
        <v>0</v>
      </c>
    </row>
  </sheetData>
  <customSheetViews>
    <customSheetView guid="{44AE2428-6D29-41CE-8BE6-3A12B4ABC13E}" showRuler="0">
      <pane ySplit="8" topLeftCell="A51" activePane="bottomLeft" state="frozen"/>
      <selection pane="bottomLeft" activeCell="G23" sqref="G23"/>
      <rowBreaks count="1" manualBreakCount="1">
        <brk id="57" max="4" man="1"/>
      </rowBreaks>
      <pageMargins left="0" right="0" top="0" bottom="0" header="0" footer="0"/>
      <pageSetup scale="89" orientation="portrait" r:id="rId1"/>
      <headerFooter alignWithMargins="0"/>
    </customSheetView>
    <customSheetView guid="{C99F132B-0D33-4B4E-8A4C-0DE2B6C7BABE}" showPageBreaks="1" showRuler="0">
      <pane ySplit="8" topLeftCell="A9" activePane="bottomLeft" state="frozen"/>
      <selection pane="bottomLeft" activeCell="G23" sqref="G23"/>
      <rowBreaks count="1" manualBreakCount="1">
        <brk id="57" max="4" man="1"/>
      </rowBreaks>
      <pageMargins left="0" right="0" top="0" bottom="0" header="0" footer="0"/>
      <pageSetup scale="89" orientation="portrait" r:id="rId2"/>
      <headerFooter alignWithMargins="0"/>
    </customSheetView>
    <customSheetView guid="{250C47CD-C951-45B0-85B8-EF6851D1622A}" showPageBreaks="1" showRuler="0">
      <pane ySplit="8" topLeftCell="A9" activePane="bottomLeft" state="frozen"/>
      <selection pane="bottomLeft" activeCell="D10" sqref="D10"/>
      <rowBreaks count="1" manualBreakCount="1">
        <brk id="57" max="4" man="1"/>
      </rowBreaks>
      <pageMargins left="0" right="0" top="0" bottom="0" header="0" footer="0"/>
      <pageSetup scale="89" orientation="portrait" r:id="rId3"/>
      <headerFooter alignWithMargins="0"/>
    </customSheetView>
    <customSheetView guid="{F9B0E021-530B-4D97-A767-F06D45031BB4}">
      <pane ySplit="8" topLeftCell="A24" activePane="bottomLeft" state="frozen"/>
      <selection pane="bottomLeft" activeCell="F32" sqref="F32"/>
      <pageMargins left="0" right="0" top="0" bottom="0" header="0" footer="0"/>
    </customSheetView>
    <customSheetView guid="{F1A6D050-DA21-4A77-B24F-7B069B700D3A}" showPageBreaks="1">
      <pane ySplit="8" topLeftCell="A24" activePane="bottomLeft" state="frozen"/>
      <selection pane="bottomLeft" activeCell="F32" sqref="F32"/>
      <pageMargins left="0" right="0" top="0" bottom="0" header="0" footer="0"/>
      <pageSetup orientation="portrait" r:id="rId4"/>
    </customSheetView>
  </customSheetViews>
  <mergeCells count="1">
    <mergeCell ref="A4:B4"/>
  </mergeCells>
  <pageMargins left="0.7" right="0.7" top="0.75" bottom="0.75" header="0.3" footer="0.3"/>
  <pageSetup scale="89" orientation="portrait"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K200"/>
  <sheetViews>
    <sheetView tabSelected="1" showRuler="0" zoomScale="70" zoomScaleNormal="70" zoomScaleSheetLayoutView="70" workbookViewId="0">
      <pane xSplit="8" ySplit="2" topLeftCell="I162" activePane="bottomRight" state="frozenSplit"/>
      <selection pane="topRight" activeCell="M1" sqref="M1"/>
      <selection pane="bottomLeft" activeCell="A3" sqref="A3"/>
      <selection pane="bottomRight" activeCell="G191" sqref="G191"/>
    </sheetView>
  </sheetViews>
  <sheetFormatPr defaultRowHeight="15"/>
  <cols>
    <col min="1" max="1" width="11.42578125" style="280" customWidth="1"/>
    <col min="2" max="2" width="57.7109375" style="266" customWidth="1"/>
    <col min="3" max="3" width="11.85546875" style="46" customWidth="1"/>
    <col min="4" max="4" width="7.5703125" style="12" customWidth="1"/>
    <col min="5" max="5" width="15.140625" style="44" customWidth="1"/>
    <col min="6" max="6" width="1.85546875" style="12" customWidth="1"/>
    <col min="7" max="7" width="16.5703125" style="45" customWidth="1"/>
    <col min="8" max="8" width="1.7109375" style="12" customWidth="1"/>
    <col min="9" max="10" width="19.7109375" style="45" customWidth="1"/>
    <col min="11" max="11" width="22.5703125" style="45" customWidth="1"/>
    <col min="12" max="12" width="18.85546875" style="12" customWidth="1"/>
    <col min="13" max="13" width="27.42578125" style="12" bestFit="1" customWidth="1"/>
    <col min="14" max="16384" width="9.140625" style="12"/>
  </cols>
  <sheetData>
    <row r="1" spans="1:11" ht="15.75">
      <c r="A1" s="598" t="s">
        <v>74</v>
      </c>
      <c r="B1" s="260" t="s">
        <v>75</v>
      </c>
      <c r="C1" s="6" t="s">
        <v>75</v>
      </c>
      <c r="D1" s="7" t="s">
        <v>75</v>
      </c>
      <c r="E1" s="8" t="s">
        <v>75</v>
      </c>
      <c r="F1" s="7"/>
      <c r="G1" s="596" t="s">
        <v>802</v>
      </c>
      <c r="H1" s="55" t="s">
        <v>75</v>
      </c>
      <c r="I1" s="9" t="s">
        <v>76</v>
      </c>
      <c r="J1" s="10" t="s">
        <v>77</v>
      </c>
      <c r="K1" s="11" t="s">
        <v>78</v>
      </c>
    </row>
    <row r="2" spans="1:11" ht="15.75">
      <c r="A2" s="599"/>
      <c r="B2" s="535" t="s">
        <v>8</v>
      </c>
      <c r="C2" s="13" t="s">
        <v>9</v>
      </c>
      <c r="D2" s="14" t="s">
        <v>10</v>
      </c>
      <c r="E2" s="15" t="s">
        <v>79</v>
      </c>
      <c r="F2" s="16"/>
      <c r="G2" s="597"/>
      <c r="H2" s="56"/>
      <c r="I2" s="19" t="s">
        <v>80</v>
      </c>
      <c r="J2" s="17" t="s">
        <v>80</v>
      </c>
      <c r="K2" s="18" t="s">
        <v>80</v>
      </c>
    </row>
    <row r="3" spans="1:11" ht="15.75">
      <c r="A3" s="269"/>
      <c r="B3" s="261"/>
      <c r="C3" s="21"/>
      <c r="D3" s="22"/>
      <c r="E3" s="23"/>
      <c r="F3" s="24"/>
      <c r="G3" s="311"/>
      <c r="H3" s="312"/>
      <c r="I3" s="311"/>
      <c r="J3" s="311"/>
      <c r="K3" s="311"/>
    </row>
    <row r="4" spans="1:11" s="524" customFormat="1" ht="63">
      <c r="A4" s="512">
        <v>1</v>
      </c>
      <c r="B4" s="513" t="s">
        <v>81</v>
      </c>
      <c r="C4" s="514"/>
      <c r="D4" s="515"/>
      <c r="E4" s="516"/>
      <c r="F4" s="515"/>
      <c r="G4" s="517" t="s">
        <v>802</v>
      </c>
      <c r="H4" s="518"/>
      <c r="I4" s="519" t="s">
        <v>82</v>
      </c>
      <c r="J4" s="519" t="s">
        <v>83</v>
      </c>
      <c r="K4" s="519" t="s">
        <v>84</v>
      </c>
    </row>
    <row r="5" spans="1:11">
      <c r="A5" s="273" t="s">
        <v>75</v>
      </c>
      <c r="B5" s="263"/>
      <c r="C5" s="34"/>
      <c r="D5" s="35"/>
      <c r="E5" s="36"/>
      <c r="F5" s="35"/>
      <c r="G5" s="37"/>
      <c r="H5" s="57"/>
      <c r="I5" s="43"/>
      <c r="J5" s="42"/>
      <c r="K5" s="43"/>
    </row>
    <row r="6" spans="1:11" s="28" customFormat="1" ht="15.75">
      <c r="A6" s="274"/>
      <c r="B6" s="275" t="s">
        <v>85</v>
      </c>
      <c r="C6" s="149"/>
      <c r="D6" s="150"/>
      <c r="E6" s="151"/>
      <c r="F6" s="150"/>
      <c r="G6" s="152"/>
      <c r="H6" s="153"/>
      <c r="I6" s="154"/>
      <c r="J6" s="155"/>
      <c r="K6" s="156"/>
    </row>
    <row r="7" spans="1:11">
      <c r="A7" s="273"/>
      <c r="B7" s="263" t="s">
        <v>86</v>
      </c>
      <c r="C7" s="34">
        <v>35800</v>
      </c>
      <c r="D7" s="35" t="s">
        <v>87</v>
      </c>
      <c r="E7" s="36">
        <f>19215/C7</f>
        <v>0.53673184357541903</v>
      </c>
      <c r="F7" s="35"/>
      <c r="G7" s="37">
        <f t="shared" ref="G7:G12" si="0">E7*C7</f>
        <v>19215</v>
      </c>
      <c r="H7" s="57"/>
      <c r="I7" s="259">
        <f>0.6*$C$7</f>
        <v>21480</v>
      </c>
      <c r="J7" s="259">
        <f>0.75*$C$7</f>
        <v>26850</v>
      </c>
      <c r="K7" s="259">
        <v>20000</v>
      </c>
    </row>
    <row r="8" spans="1:11">
      <c r="A8" s="273"/>
      <c r="B8" s="263" t="s">
        <v>88</v>
      </c>
      <c r="C8" s="34">
        <v>50</v>
      </c>
      <c r="D8" s="35" t="s">
        <v>89</v>
      </c>
      <c r="E8" s="36">
        <v>450</v>
      </c>
      <c r="F8" s="35"/>
      <c r="G8" s="37">
        <f t="shared" si="0"/>
        <v>22500</v>
      </c>
      <c r="H8" s="57"/>
      <c r="I8" s="259">
        <f>550*$C$8</f>
        <v>27500</v>
      </c>
      <c r="J8" s="259">
        <f>500*$C$8</f>
        <v>25000</v>
      </c>
      <c r="K8" s="259">
        <f>550*$C$8</f>
        <v>27500</v>
      </c>
    </row>
    <row r="9" spans="1:11">
      <c r="A9" s="273"/>
      <c r="B9" s="263" t="s">
        <v>90</v>
      </c>
      <c r="C9" s="34">
        <v>12</v>
      </c>
      <c r="D9" s="35" t="s">
        <v>89</v>
      </c>
      <c r="E9" s="36">
        <v>3500</v>
      </c>
      <c r="F9" s="35"/>
      <c r="G9" s="37">
        <f t="shared" si="0"/>
        <v>42000</v>
      </c>
      <c r="H9" s="57"/>
      <c r="I9" s="259">
        <f>3000*$C$9</f>
        <v>36000</v>
      </c>
      <c r="J9" s="259">
        <f>2500*$C$9</f>
        <v>30000</v>
      </c>
      <c r="K9" s="259">
        <f>3000*$C$9</f>
        <v>36000</v>
      </c>
    </row>
    <row r="10" spans="1:11">
      <c r="A10" s="273"/>
      <c r="B10" s="263" t="s">
        <v>91</v>
      </c>
      <c r="C10" s="34">
        <v>1</v>
      </c>
      <c r="D10" s="35" t="s">
        <v>92</v>
      </c>
      <c r="E10" s="36">
        <v>15000</v>
      </c>
      <c r="F10" s="35"/>
      <c r="G10" s="37">
        <f t="shared" si="0"/>
        <v>15000</v>
      </c>
      <c r="H10" s="57"/>
      <c r="I10" s="259">
        <f>10000*$C$10</f>
        <v>10000</v>
      </c>
      <c r="J10" s="259">
        <f>10000*$C$10</f>
        <v>10000</v>
      </c>
      <c r="K10" s="259">
        <v>8000</v>
      </c>
    </row>
    <row r="11" spans="1:11">
      <c r="A11" s="273"/>
      <c r="B11" s="263" t="s">
        <v>93</v>
      </c>
      <c r="C11" s="34">
        <v>1</v>
      </c>
      <c r="D11" s="35" t="s">
        <v>92</v>
      </c>
      <c r="E11" s="36">
        <v>50000</v>
      </c>
      <c r="F11" s="35"/>
      <c r="G11" s="37">
        <f t="shared" si="0"/>
        <v>50000</v>
      </c>
      <c r="H11" s="57"/>
      <c r="I11" s="259">
        <f>45000*$C$11</f>
        <v>45000</v>
      </c>
      <c r="J11" s="259">
        <v>45000</v>
      </c>
      <c r="K11" s="259">
        <v>50000</v>
      </c>
    </row>
    <row r="12" spans="1:11">
      <c r="A12" s="273"/>
      <c r="B12" s="263" t="s">
        <v>94</v>
      </c>
      <c r="C12" s="34">
        <v>2</v>
      </c>
      <c r="D12" s="35" t="s">
        <v>89</v>
      </c>
      <c r="E12" s="36">
        <v>1080.5</v>
      </c>
      <c r="F12" s="35"/>
      <c r="G12" s="37">
        <f t="shared" si="0"/>
        <v>2161</v>
      </c>
      <c r="H12" s="57"/>
      <c r="I12" s="259">
        <f>1200*$C$12</f>
        <v>2400</v>
      </c>
      <c r="J12" s="259" t="s">
        <v>95</v>
      </c>
      <c r="K12" s="259">
        <f>2*2500</f>
        <v>5000</v>
      </c>
    </row>
    <row r="13" spans="1:11">
      <c r="A13" s="273"/>
      <c r="B13" s="263"/>
      <c r="C13" s="34"/>
      <c r="D13" s="35"/>
      <c r="E13" s="36"/>
      <c r="F13" s="35"/>
      <c r="G13" s="37"/>
      <c r="H13" s="57"/>
      <c r="I13" s="41"/>
      <c r="J13" s="41"/>
      <c r="K13" s="39"/>
    </row>
    <row r="14" spans="1:11" ht="15.75">
      <c r="A14" s="276">
        <f>A4</f>
        <v>1</v>
      </c>
      <c r="B14" s="277" t="str">
        <f>B4</f>
        <v>GENERAL REQUIREMENTS</v>
      </c>
      <c r="C14" s="246"/>
      <c r="D14" s="247"/>
      <c r="E14" s="248"/>
      <c r="F14" s="310"/>
      <c r="G14" s="249">
        <f>SUM(G4:G13)</f>
        <v>150876</v>
      </c>
      <c r="H14" s="58"/>
      <c r="I14" s="250">
        <f>SUM(I7:I13)</f>
        <v>142380</v>
      </c>
      <c r="J14" s="250">
        <f>SUM(J7:J13)</f>
        <v>136850</v>
      </c>
      <c r="K14" s="250">
        <f>SUM(K7:K13)</f>
        <v>146500</v>
      </c>
    </row>
    <row r="15" spans="1:11" s="4" customFormat="1">
      <c r="A15" s="273"/>
      <c r="B15" s="264"/>
      <c r="C15" s="1"/>
      <c r="D15" s="61"/>
      <c r="E15" s="62"/>
      <c r="F15" s="2"/>
      <c r="G15" s="3"/>
      <c r="H15" s="59"/>
      <c r="I15" s="3"/>
      <c r="J15" s="148"/>
      <c r="K15" s="3"/>
    </row>
    <row r="16" spans="1:11" s="520" customFormat="1" ht="78.75">
      <c r="A16" s="512">
        <v>3</v>
      </c>
      <c r="B16" s="513" t="s">
        <v>96</v>
      </c>
      <c r="C16" s="514"/>
      <c r="D16" s="515"/>
      <c r="E16" s="516"/>
      <c r="F16" s="515"/>
      <c r="G16" s="517" t="s">
        <v>802</v>
      </c>
      <c r="H16" s="518"/>
      <c r="I16" s="519" t="s">
        <v>97</v>
      </c>
      <c r="J16" s="519" t="s">
        <v>98</v>
      </c>
      <c r="K16" s="519" t="s">
        <v>99</v>
      </c>
    </row>
    <row r="17" spans="1:11">
      <c r="A17" s="273" t="s">
        <v>75</v>
      </c>
      <c r="B17" s="263"/>
      <c r="C17" s="34"/>
      <c r="D17" s="35"/>
      <c r="E17" s="36"/>
      <c r="F17" s="35"/>
      <c r="G17" s="37"/>
      <c r="H17" s="57"/>
      <c r="I17" s="43"/>
      <c r="J17" s="43"/>
      <c r="K17" s="43"/>
    </row>
    <row r="18" spans="1:11" s="28" customFormat="1" ht="15.75">
      <c r="A18" s="274"/>
      <c r="B18" s="275" t="s">
        <v>85</v>
      </c>
      <c r="C18" s="149"/>
      <c r="D18" s="150"/>
      <c r="E18" s="151"/>
      <c r="F18" s="150"/>
      <c r="G18" s="152"/>
      <c r="H18" s="153"/>
      <c r="I18" s="156">
        <f>1386000+29000</f>
        <v>1415000</v>
      </c>
      <c r="J18" s="154">
        <v>1075703</v>
      </c>
      <c r="K18" s="154">
        <v>1265860</v>
      </c>
    </row>
    <row r="19" spans="1:11" ht="16.5" customHeight="1">
      <c r="A19" s="273"/>
      <c r="B19" s="537" t="s">
        <v>100</v>
      </c>
      <c r="C19" s="33"/>
      <c r="D19" s="33"/>
      <c r="E19" s="36"/>
      <c r="F19" s="35"/>
      <c r="G19" s="37"/>
      <c r="H19" s="57"/>
      <c r="I19" s="39"/>
      <c r="J19" s="41"/>
      <c r="K19" s="41"/>
    </row>
    <row r="20" spans="1:11">
      <c r="A20" s="282"/>
      <c r="B20" s="283"/>
      <c r="C20" s="284"/>
      <c r="D20" s="285"/>
      <c r="E20" s="286"/>
      <c r="F20" s="287"/>
      <c r="G20" s="288"/>
      <c r="H20" s="289"/>
      <c r="I20" s="292"/>
      <c r="J20" s="290"/>
      <c r="K20" s="290"/>
    </row>
    <row r="21" spans="1:11">
      <c r="A21" s="273"/>
      <c r="B21" s="263" t="s">
        <v>101</v>
      </c>
      <c r="C21" s="34">
        <v>403</v>
      </c>
      <c r="D21" s="35" t="s">
        <v>102</v>
      </c>
      <c r="E21" s="36"/>
      <c r="F21" s="35"/>
      <c r="G21" s="37"/>
      <c r="H21" s="57"/>
      <c r="I21" s="256" t="s">
        <v>103</v>
      </c>
      <c r="J21" s="256" t="s">
        <v>103</v>
      </c>
      <c r="K21" s="256" t="s">
        <v>103</v>
      </c>
    </row>
    <row r="22" spans="1:11">
      <c r="A22" s="273"/>
      <c r="B22" s="263" t="s">
        <v>104</v>
      </c>
      <c r="C22" s="34">
        <v>246</v>
      </c>
      <c r="D22" s="35" t="s">
        <v>102</v>
      </c>
      <c r="E22" s="36"/>
      <c r="F22" s="35"/>
      <c r="G22" s="37"/>
      <c r="H22" s="57"/>
      <c r="I22" s="256" t="s">
        <v>103</v>
      </c>
      <c r="J22" s="256" t="s">
        <v>103</v>
      </c>
      <c r="K22" s="256" t="s">
        <v>103</v>
      </c>
    </row>
    <row r="23" spans="1:11">
      <c r="A23" s="273"/>
      <c r="B23" s="263" t="s">
        <v>105</v>
      </c>
      <c r="C23" s="34">
        <v>45</v>
      </c>
      <c r="D23" s="35" t="s">
        <v>102</v>
      </c>
      <c r="E23" s="36"/>
      <c r="F23" s="35"/>
      <c r="G23" s="37"/>
      <c r="H23" s="57"/>
      <c r="I23" s="256" t="s">
        <v>103</v>
      </c>
      <c r="J23" s="256" t="s">
        <v>103</v>
      </c>
      <c r="K23" s="256" t="s">
        <v>103</v>
      </c>
    </row>
    <row r="24" spans="1:11" ht="30">
      <c r="A24" s="273"/>
      <c r="B24" s="263" t="s">
        <v>106</v>
      </c>
      <c r="C24" s="34">
        <v>74</v>
      </c>
      <c r="D24" s="35" t="s">
        <v>102</v>
      </c>
      <c r="E24" s="36"/>
      <c r="F24" s="35"/>
      <c r="G24" s="37"/>
      <c r="H24" s="57"/>
      <c r="I24" s="256" t="s">
        <v>103</v>
      </c>
      <c r="J24" s="256" t="s">
        <v>103</v>
      </c>
      <c r="K24" s="256" t="s">
        <v>103</v>
      </c>
    </row>
    <row r="25" spans="1:11">
      <c r="A25" s="273"/>
      <c r="B25" s="263" t="s">
        <v>107</v>
      </c>
      <c r="C25" s="34">
        <v>5</v>
      </c>
      <c r="D25" s="35" t="s">
        <v>102</v>
      </c>
      <c r="E25" s="36"/>
      <c r="F25" s="35"/>
      <c r="G25" s="37"/>
      <c r="H25" s="57"/>
      <c r="I25" s="256" t="s">
        <v>103</v>
      </c>
      <c r="J25" s="256" t="s">
        <v>103</v>
      </c>
      <c r="K25" s="256" t="s">
        <v>103</v>
      </c>
    </row>
    <row r="26" spans="1:11">
      <c r="A26" s="273"/>
      <c r="B26" s="263" t="s">
        <v>108</v>
      </c>
      <c r="C26" s="34">
        <v>1.1000000000000001</v>
      </c>
      <c r="D26" s="35" t="s">
        <v>102</v>
      </c>
      <c r="E26" s="36"/>
      <c r="F26" s="35"/>
      <c r="G26" s="37"/>
      <c r="H26" s="57"/>
      <c r="I26" s="256" t="s">
        <v>103</v>
      </c>
      <c r="J26" s="256" t="s">
        <v>103</v>
      </c>
      <c r="K26" s="256" t="s">
        <v>103</v>
      </c>
    </row>
    <row r="27" spans="1:11">
      <c r="A27" s="273"/>
      <c r="B27" s="263" t="s">
        <v>109</v>
      </c>
      <c r="C27" s="34">
        <v>8</v>
      </c>
      <c r="D27" s="35" t="s">
        <v>102</v>
      </c>
      <c r="E27" s="36"/>
      <c r="F27" s="35"/>
      <c r="G27" s="37"/>
      <c r="H27" s="57"/>
      <c r="I27" s="256" t="s">
        <v>103</v>
      </c>
      <c r="J27" s="256" t="s">
        <v>103</v>
      </c>
      <c r="K27" s="256" t="s">
        <v>103</v>
      </c>
    </row>
    <row r="28" spans="1:11">
      <c r="A28" s="273"/>
      <c r="B28" s="263" t="s">
        <v>110</v>
      </c>
      <c r="C28" s="34">
        <v>14</v>
      </c>
      <c r="D28" s="35" t="s">
        <v>102</v>
      </c>
      <c r="E28" s="36"/>
      <c r="F28" s="35"/>
      <c r="G28" s="37"/>
      <c r="H28" s="57"/>
      <c r="I28" s="256" t="s">
        <v>103</v>
      </c>
      <c r="J28" s="256" t="s">
        <v>103</v>
      </c>
      <c r="K28" s="256" t="s">
        <v>103</v>
      </c>
    </row>
    <row r="29" spans="1:11">
      <c r="A29" s="273"/>
      <c r="B29" s="263" t="s">
        <v>111</v>
      </c>
      <c r="C29" s="34">
        <v>40</v>
      </c>
      <c r="D29" s="35" t="s">
        <v>112</v>
      </c>
      <c r="E29" s="36"/>
      <c r="F29" s="35"/>
      <c r="G29" s="37"/>
      <c r="H29" s="57"/>
      <c r="I29" s="256" t="s">
        <v>103</v>
      </c>
      <c r="J29" s="256" t="s">
        <v>103</v>
      </c>
      <c r="K29" s="256" t="s">
        <v>103</v>
      </c>
    </row>
    <row r="30" spans="1:11">
      <c r="A30" s="273"/>
      <c r="B30" s="263" t="s">
        <v>113</v>
      </c>
      <c r="C30" s="34">
        <v>200</v>
      </c>
      <c r="D30" s="35" t="s">
        <v>87</v>
      </c>
      <c r="E30" s="36"/>
      <c r="F30" s="35"/>
      <c r="G30" s="37"/>
      <c r="H30" s="57"/>
      <c r="I30" s="256" t="s">
        <v>103</v>
      </c>
      <c r="J30" s="256" t="s">
        <v>103</v>
      </c>
      <c r="K30" s="256" t="s">
        <v>103</v>
      </c>
    </row>
    <row r="31" spans="1:11">
      <c r="A31" s="273"/>
      <c r="B31" s="263" t="s">
        <v>114</v>
      </c>
      <c r="C31" s="34">
        <v>18468</v>
      </c>
      <c r="D31" s="35" t="s">
        <v>102</v>
      </c>
      <c r="E31" s="36"/>
      <c r="F31" s="35"/>
      <c r="G31" s="37"/>
      <c r="H31" s="57"/>
      <c r="I31" s="256" t="s">
        <v>103</v>
      </c>
      <c r="J31" s="256" t="s">
        <v>103</v>
      </c>
      <c r="K31" s="256" t="s">
        <v>103</v>
      </c>
    </row>
    <row r="32" spans="1:11">
      <c r="A32" s="273"/>
      <c r="B32" s="263" t="s">
        <v>115</v>
      </c>
      <c r="C32" s="34">
        <v>2</v>
      </c>
      <c r="D32" s="35" t="s">
        <v>102</v>
      </c>
      <c r="E32" s="36"/>
      <c r="F32" s="35"/>
      <c r="G32" s="37"/>
      <c r="H32" s="57"/>
      <c r="I32" s="256" t="s">
        <v>103</v>
      </c>
      <c r="J32" s="256" t="s">
        <v>103</v>
      </c>
      <c r="K32" s="256" t="s">
        <v>103</v>
      </c>
    </row>
    <row r="33" spans="1:11">
      <c r="A33" s="273"/>
      <c r="B33" s="263" t="s">
        <v>116</v>
      </c>
      <c r="C33" s="34">
        <v>10</v>
      </c>
      <c r="D33" s="35" t="s">
        <v>102</v>
      </c>
      <c r="E33" s="36"/>
      <c r="F33" s="35"/>
      <c r="G33" s="37"/>
      <c r="H33" s="57"/>
      <c r="I33" s="256" t="s">
        <v>103</v>
      </c>
      <c r="J33" s="256" t="s">
        <v>103</v>
      </c>
      <c r="K33" s="256" t="s">
        <v>103</v>
      </c>
    </row>
    <row r="34" spans="1:11">
      <c r="A34" s="273"/>
      <c r="B34" s="263" t="s">
        <v>117</v>
      </c>
      <c r="C34" s="34">
        <v>20600</v>
      </c>
      <c r="D34" s="35" t="s">
        <v>87</v>
      </c>
      <c r="E34" s="36"/>
      <c r="F34" s="35"/>
      <c r="G34" s="37"/>
      <c r="H34" s="57"/>
      <c r="I34" s="256" t="s">
        <v>103</v>
      </c>
      <c r="J34" s="256" t="s">
        <v>103</v>
      </c>
      <c r="K34" s="256" t="s">
        <v>103</v>
      </c>
    </row>
    <row r="35" spans="1:11" ht="30">
      <c r="A35" s="273"/>
      <c r="B35" s="263" t="s">
        <v>118</v>
      </c>
      <c r="C35" s="34">
        <v>11973</v>
      </c>
      <c r="D35" s="35" t="s">
        <v>87</v>
      </c>
      <c r="E35" s="36"/>
      <c r="F35" s="35"/>
      <c r="G35" s="37"/>
      <c r="H35" s="57"/>
      <c r="I35" s="256" t="s">
        <v>103</v>
      </c>
      <c r="J35" s="256" t="s">
        <v>103</v>
      </c>
      <c r="K35" s="256" t="s">
        <v>103</v>
      </c>
    </row>
    <row r="36" spans="1:11">
      <c r="A36" s="273"/>
      <c r="B36" s="263" t="s">
        <v>119</v>
      </c>
      <c r="C36" s="34">
        <v>13793</v>
      </c>
      <c r="D36" s="35" t="s">
        <v>87</v>
      </c>
      <c r="E36" s="36"/>
      <c r="F36" s="35"/>
      <c r="G36" s="37"/>
      <c r="H36" s="57"/>
      <c r="I36" s="256" t="s">
        <v>103</v>
      </c>
      <c r="J36" s="256" t="s">
        <v>103</v>
      </c>
      <c r="K36" s="256" t="s">
        <v>103</v>
      </c>
    </row>
    <row r="37" spans="1:11">
      <c r="A37" s="273"/>
      <c r="B37" s="263"/>
      <c r="C37" s="34"/>
      <c r="D37" s="35"/>
      <c r="E37" s="36"/>
      <c r="F37" s="35"/>
      <c r="G37" s="37"/>
      <c r="H37" s="57"/>
      <c r="I37" s="257"/>
      <c r="J37" s="257"/>
      <c r="K37" s="257"/>
    </row>
    <row r="38" spans="1:11" ht="30">
      <c r="A38" s="305" t="s">
        <v>120</v>
      </c>
      <c r="B38" s="263" t="s">
        <v>121</v>
      </c>
      <c r="C38" s="34">
        <v>-16906</v>
      </c>
      <c r="D38" s="35" t="s">
        <v>122</v>
      </c>
      <c r="E38" s="36"/>
      <c r="F38" s="318"/>
      <c r="G38" s="36"/>
      <c r="H38" s="57"/>
      <c r="I38" s="256" t="s">
        <v>103</v>
      </c>
      <c r="J38" s="256" t="s">
        <v>103</v>
      </c>
      <c r="K38" s="256" t="s">
        <v>103</v>
      </c>
    </row>
    <row r="39" spans="1:11" ht="15.75">
      <c r="A39" s="305" t="s">
        <v>123</v>
      </c>
      <c r="B39" s="263" t="s">
        <v>124</v>
      </c>
      <c r="C39" s="34">
        <v>-16906</v>
      </c>
      <c r="D39" s="35" t="s">
        <v>87</v>
      </c>
      <c r="E39" s="36"/>
      <c r="F39" s="318"/>
      <c r="G39" s="36"/>
      <c r="H39" s="57"/>
      <c r="I39" s="256" t="s">
        <v>103</v>
      </c>
      <c r="J39" s="256" t="s">
        <v>103</v>
      </c>
      <c r="K39" s="256" t="s">
        <v>103</v>
      </c>
    </row>
    <row r="40" spans="1:11" ht="30">
      <c r="A40" s="305" t="s">
        <v>125</v>
      </c>
      <c r="B40" s="263" t="s">
        <v>126</v>
      </c>
      <c r="C40" s="34">
        <v>-11973</v>
      </c>
      <c r="D40" s="35" t="s">
        <v>87</v>
      </c>
      <c r="E40" s="36"/>
      <c r="F40" s="318"/>
      <c r="G40" s="36"/>
      <c r="H40" s="57"/>
      <c r="I40" s="256" t="s">
        <v>103</v>
      </c>
      <c r="J40" s="256" t="s">
        <v>103</v>
      </c>
      <c r="K40" s="256" t="s">
        <v>103</v>
      </c>
    </row>
    <row r="41" spans="1:11" ht="30">
      <c r="A41" s="305" t="s">
        <v>127</v>
      </c>
      <c r="B41" s="263" t="s">
        <v>128</v>
      </c>
      <c r="C41" s="34">
        <v>-6753</v>
      </c>
      <c r="D41" s="35" t="s">
        <v>87</v>
      </c>
      <c r="E41" s="36"/>
      <c r="F41" s="318"/>
      <c r="G41" s="36"/>
      <c r="H41" s="57"/>
      <c r="I41" s="256" t="s">
        <v>103</v>
      </c>
      <c r="J41" s="256" t="s">
        <v>103</v>
      </c>
      <c r="K41" s="256" t="s">
        <v>103</v>
      </c>
    </row>
    <row r="42" spans="1:11" ht="30">
      <c r="A42" s="305" t="s">
        <v>129</v>
      </c>
      <c r="B42" s="263" t="s">
        <v>130</v>
      </c>
      <c r="C42" s="34">
        <v>-900</v>
      </c>
      <c r="D42" s="35" t="s">
        <v>87</v>
      </c>
      <c r="E42" s="36"/>
      <c r="F42" s="318"/>
      <c r="G42" s="36"/>
      <c r="H42" s="57"/>
      <c r="I42" s="256" t="s">
        <v>103</v>
      </c>
      <c r="J42" s="256" t="s">
        <v>103</v>
      </c>
      <c r="K42" s="256" t="s">
        <v>103</v>
      </c>
    </row>
    <row r="43" spans="1:11" ht="15.75">
      <c r="A43" s="305" t="s">
        <v>131</v>
      </c>
      <c r="B43" s="263" t="s">
        <v>132</v>
      </c>
      <c r="C43" s="34">
        <v>-197</v>
      </c>
      <c r="D43" s="35" t="s">
        <v>122</v>
      </c>
      <c r="E43" s="36"/>
      <c r="F43" s="35"/>
      <c r="G43" s="37"/>
      <c r="H43" s="57"/>
      <c r="I43" s="256" t="s">
        <v>103</v>
      </c>
      <c r="J43" s="256" t="s">
        <v>103</v>
      </c>
      <c r="K43" s="256" t="s">
        <v>103</v>
      </c>
    </row>
    <row r="44" spans="1:11" ht="15.75">
      <c r="A44" s="305" t="s">
        <v>133</v>
      </c>
      <c r="B44" s="263" t="s">
        <v>134</v>
      </c>
      <c r="C44" s="34">
        <v>-88</v>
      </c>
      <c r="D44" s="35" t="s">
        <v>135</v>
      </c>
      <c r="E44" s="36"/>
      <c r="F44" s="35"/>
      <c r="G44" s="37"/>
      <c r="H44" s="57"/>
      <c r="I44" s="256" t="s">
        <v>103</v>
      </c>
      <c r="J44" s="256" t="s">
        <v>103</v>
      </c>
      <c r="K44" s="256" t="s">
        <v>103</v>
      </c>
    </row>
    <row r="45" spans="1:11">
      <c r="A45" s="273"/>
      <c r="B45" s="263"/>
      <c r="C45" s="34"/>
      <c r="D45" s="35"/>
      <c r="E45" s="36"/>
      <c r="F45" s="35"/>
      <c r="G45" s="37"/>
      <c r="H45" s="57"/>
      <c r="I45" s="259"/>
      <c r="J45" s="257"/>
      <c r="K45" s="257"/>
    </row>
    <row r="46" spans="1:11">
      <c r="A46" s="278"/>
      <c r="B46" s="263"/>
      <c r="C46" s="34"/>
      <c r="D46" s="35"/>
      <c r="E46" s="36"/>
      <c r="F46" s="35"/>
      <c r="G46" s="37"/>
      <c r="H46" s="57"/>
      <c r="I46" s="63"/>
      <c r="J46" s="40"/>
      <c r="K46" s="39"/>
    </row>
    <row r="47" spans="1:11" ht="15.75">
      <c r="A47" s="276">
        <f>A16</f>
        <v>3</v>
      </c>
      <c r="B47" s="277" t="str">
        <f>B16</f>
        <v>CIP CONCRETE</v>
      </c>
      <c r="C47" s="246"/>
      <c r="D47" s="247"/>
      <c r="E47" s="248"/>
      <c r="F47" s="310"/>
      <c r="G47" s="249">
        <f>SUM(G16:G46)</f>
        <v>0</v>
      </c>
      <c r="H47" s="58"/>
      <c r="I47" s="250">
        <f>SUM(I17:I46)</f>
        <v>1415000</v>
      </c>
      <c r="J47" s="250">
        <f>SUM(J17:J46)</f>
        <v>1075703</v>
      </c>
      <c r="K47" s="250">
        <f>SUM(K17:K46)</f>
        <v>1265860</v>
      </c>
    </row>
    <row r="48" spans="1:11" s="4" customFormat="1">
      <c r="A48" s="273"/>
      <c r="B48" s="264"/>
      <c r="C48" s="1"/>
      <c r="D48" s="61"/>
      <c r="E48" s="62"/>
      <c r="F48" s="2"/>
      <c r="G48" s="3"/>
      <c r="H48" s="59"/>
      <c r="I48" s="3"/>
      <c r="J48" s="148"/>
      <c r="K48" s="3"/>
    </row>
    <row r="49" spans="1:11" s="520" customFormat="1" ht="63">
      <c r="A49" s="512">
        <v>5</v>
      </c>
      <c r="B49" s="513" t="s">
        <v>136</v>
      </c>
      <c r="C49" s="514"/>
      <c r="D49" s="515"/>
      <c r="E49" s="516"/>
      <c r="F49" s="515"/>
      <c r="G49" s="517" t="s">
        <v>802</v>
      </c>
      <c r="H49" s="518"/>
      <c r="I49" s="519" t="s">
        <v>137</v>
      </c>
      <c r="J49" s="519" t="s">
        <v>138</v>
      </c>
      <c r="K49" s="519" t="s">
        <v>139</v>
      </c>
    </row>
    <row r="50" spans="1:11">
      <c r="A50" s="273" t="s">
        <v>75</v>
      </c>
      <c r="B50" s="263"/>
      <c r="C50" s="34"/>
      <c r="D50" s="35"/>
      <c r="E50" s="36"/>
      <c r="F50" s="35"/>
      <c r="G50" s="37"/>
      <c r="H50" s="57"/>
      <c r="I50" s="42"/>
      <c r="J50" s="42"/>
      <c r="K50" s="43"/>
    </row>
    <row r="51" spans="1:11" s="28" customFormat="1" ht="15.75">
      <c r="A51" s="274"/>
      <c r="B51" s="275" t="s">
        <v>85</v>
      </c>
      <c r="C51" s="149"/>
      <c r="D51" s="150"/>
      <c r="E51" s="151"/>
      <c r="F51" s="150"/>
      <c r="G51" s="152"/>
      <c r="H51" s="153"/>
      <c r="I51" s="155">
        <v>633016</v>
      </c>
      <c r="J51" s="155">
        <v>784586</v>
      </c>
      <c r="K51" s="319">
        <v>659382</v>
      </c>
    </row>
    <row r="52" spans="1:11" ht="16.5" customHeight="1">
      <c r="A52" s="273"/>
      <c r="B52" s="263" t="s">
        <v>100</v>
      </c>
      <c r="C52" s="33"/>
      <c r="D52" s="33"/>
      <c r="E52" s="36"/>
      <c r="F52" s="35"/>
      <c r="G52" s="37"/>
      <c r="H52" s="57"/>
      <c r="I52" s="38"/>
      <c r="J52" s="38"/>
      <c r="K52" s="39"/>
    </row>
    <row r="53" spans="1:11">
      <c r="A53" s="282"/>
      <c r="B53" s="283"/>
      <c r="C53" s="284"/>
      <c r="D53" s="285"/>
      <c r="E53" s="286"/>
      <c r="F53" s="287"/>
      <c r="G53" s="288"/>
      <c r="H53" s="289"/>
      <c r="I53" s="291"/>
      <c r="J53" s="291"/>
      <c r="K53" s="292"/>
    </row>
    <row r="54" spans="1:11">
      <c r="A54" s="273"/>
      <c r="B54" s="263" t="s">
        <v>140</v>
      </c>
      <c r="C54" s="34">
        <v>4.3899999999999997</v>
      </c>
      <c r="D54" s="35" t="s">
        <v>141</v>
      </c>
      <c r="E54" s="36">
        <v>5915</v>
      </c>
      <c r="F54" s="35"/>
      <c r="G54" s="37">
        <f t="shared" ref="G54:G90" si="1">C54*E54</f>
        <v>25966.85</v>
      </c>
      <c r="H54" s="57"/>
      <c r="I54" s="40" t="s">
        <v>103</v>
      </c>
      <c r="J54" s="40" t="s">
        <v>103</v>
      </c>
      <c r="K54" s="40" t="s">
        <v>103</v>
      </c>
    </row>
    <row r="55" spans="1:11">
      <c r="A55" s="273"/>
      <c r="B55" s="263" t="s">
        <v>142</v>
      </c>
      <c r="C55" s="34">
        <v>44</v>
      </c>
      <c r="D55" s="35" t="s">
        <v>89</v>
      </c>
      <c r="E55" s="36">
        <v>70.62</v>
      </c>
      <c r="F55" s="35"/>
      <c r="G55" s="37">
        <f t="shared" si="1"/>
        <v>3107.28</v>
      </c>
      <c r="H55" s="57"/>
      <c r="I55" s="40" t="s">
        <v>103</v>
      </c>
      <c r="J55" s="40" t="s">
        <v>103</v>
      </c>
      <c r="K55" s="40" t="s">
        <v>103</v>
      </c>
    </row>
    <row r="56" spans="1:11">
      <c r="A56" s="273"/>
      <c r="B56" s="263" t="s">
        <v>143</v>
      </c>
      <c r="C56" s="34">
        <v>88</v>
      </c>
      <c r="D56" s="35" t="s">
        <v>89</v>
      </c>
      <c r="E56" s="36">
        <v>172.4</v>
      </c>
      <c r="F56" s="35"/>
      <c r="G56" s="37">
        <f t="shared" si="1"/>
        <v>15171.2</v>
      </c>
      <c r="H56" s="57"/>
      <c r="I56" s="40" t="s">
        <v>103</v>
      </c>
      <c r="J56" s="40" t="s">
        <v>103</v>
      </c>
      <c r="K56" s="40" t="s">
        <v>103</v>
      </c>
    </row>
    <row r="57" spans="1:11">
      <c r="A57" s="273"/>
      <c r="B57" s="263" t="s">
        <v>144</v>
      </c>
      <c r="C57" s="34">
        <v>4.34</v>
      </c>
      <c r="D57" s="35" t="s">
        <v>141</v>
      </c>
      <c r="E57" s="36">
        <v>5915</v>
      </c>
      <c r="F57" s="35"/>
      <c r="G57" s="37">
        <f t="shared" si="1"/>
        <v>25671.1</v>
      </c>
      <c r="H57" s="57"/>
      <c r="I57" s="40" t="s">
        <v>103</v>
      </c>
      <c r="J57" s="40" t="s">
        <v>103</v>
      </c>
      <c r="K57" s="40" t="s">
        <v>103</v>
      </c>
    </row>
    <row r="58" spans="1:11">
      <c r="A58" s="273"/>
      <c r="B58" s="263" t="s">
        <v>145</v>
      </c>
      <c r="C58" s="34">
        <v>31</v>
      </c>
      <c r="D58" s="35" t="s">
        <v>89</v>
      </c>
      <c r="E58" s="36">
        <v>275</v>
      </c>
      <c r="F58" s="35"/>
      <c r="G58" s="37">
        <f t="shared" si="1"/>
        <v>8525</v>
      </c>
      <c r="H58" s="57"/>
      <c r="I58" s="40" t="s">
        <v>103</v>
      </c>
      <c r="J58" s="40" t="s">
        <v>103</v>
      </c>
      <c r="K58" s="40" t="s">
        <v>103</v>
      </c>
    </row>
    <row r="59" spans="1:11">
      <c r="A59" s="273"/>
      <c r="B59" s="263" t="s">
        <v>146</v>
      </c>
      <c r="C59" s="34">
        <v>39.46</v>
      </c>
      <c r="D59" s="35" t="s">
        <v>141</v>
      </c>
      <c r="E59" s="36">
        <v>5915</v>
      </c>
      <c r="F59" s="35"/>
      <c r="G59" s="37">
        <f t="shared" si="1"/>
        <v>233405.9</v>
      </c>
      <c r="H59" s="57"/>
      <c r="I59" s="40" t="s">
        <v>103</v>
      </c>
      <c r="J59" s="40" t="s">
        <v>103</v>
      </c>
      <c r="K59" s="40" t="s">
        <v>103</v>
      </c>
    </row>
    <row r="60" spans="1:11">
      <c r="A60" s="273"/>
      <c r="B60" s="263" t="s">
        <v>147</v>
      </c>
      <c r="C60" s="34">
        <v>66</v>
      </c>
      <c r="D60" s="35" t="s">
        <v>89</v>
      </c>
      <c r="E60" s="36">
        <v>2660</v>
      </c>
      <c r="F60" s="35"/>
      <c r="G60" s="37">
        <f t="shared" si="1"/>
        <v>175560</v>
      </c>
      <c r="H60" s="57"/>
      <c r="I60" s="40" t="s">
        <v>103</v>
      </c>
      <c r="J60" s="40" t="s">
        <v>103</v>
      </c>
      <c r="K60" s="40" t="s">
        <v>103</v>
      </c>
    </row>
    <row r="61" spans="1:11" ht="30">
      <c r="A61" s="273"/>
      <c r="B61" s="263" t="s">
        <v>148</v>
      </c>
      <c r="C61" s="34">
        <v>64</v>
      </c>
      <c r="D61" s="35" t="s">
        <v>112</v>
      </c>
      <c r="E61" s="36">
        <v>265.63</v>
      </c>
      <c r="F61" s="35"/>
      <c r="G61" s="37">
        <f t="shared" si="1"/>
        <v>17000.32</v>
      </c>
      <c r="H61" s="57"/>
      <c r="I61" s="40" t="s">
        <v>103</v>
      </c>
      <c r="J61" s="40" t="s">
        <v>103</v>
      </c>
      <c r="K61" s="40" t="s">
        <v>103</v>
      </c>
    </row>
    <row r="62" spans="1:11">
      <c r="A62" s="273"/>
      <c r="B62" s="263" t="s">
        <v>149</v>
      </c>
      <c r="C62" s="34">
        <v>24</v>
      </c>
      <c r="D62" s="35" t="s">
        <v>112</v>
      </c>
      <c r="E62" s="36">
        <v>265.63</v>
      </c>
      <c r="F62" s="35"/>
      <c r="G62" s="37">
        <f t="shared" si="1"/>
        <v>6375.12</v>
      </c>
      <c r="H62" s="57"/>
      <c r="I62" s="40" t="s">
        <v>103</v>
      </c>
      <c r="J62" s="40" t="s">
        <v>103</v>
      </c>
      <c r="K62" s="40" t="s">
        <v>103</v>
      </c>
    </row>
    <row r="63" spans="1:11">
      <c r="A63" s="273"/>
      <c r="B63" s="263" t="s">
        <v>150</v>
      </c>
      <c r="C63" s="34">
        <v>35800</v>
      </c>
      <c r="D63" s="35" t="s">
        <v>87</v>
      </c>
      <c r="E63" s="36">
        <v>0.25</v>
      </c>
      <c r="F63" s="35"/>
      <c r="G63" s="37">
        <f t="shared" si="1"/>
        <v>8950</v>
      </c>
      <c r="H63" s="57"/>
      <c r="I63" s="40" t="s">
        <v>103</v>
      </c>
      <c r="J63" s="40" t="s">
        <v>103</v>
      </c>
      <c r="K63" s="40" t="s">
        <v>103</v>
      </c>
    </row>
    <row r="64" spans="1:11">
      <c r="A64" s="273"/>
      <c r="B64" s="263" t="s">
        <v>151</v>
      </c>
      <c r="C64" s="34">
        <v>1</v>
      </c>
      <c r="D64" s="35" t="s">
        <v>89</v>
      </c>
      <c r="E64" s="36">
        <v>500</v>
      </c>
      <c r="F64" s="35"/>
      <c r="G64" s="37">
        <f t="shared" si="1"/>
        <v>500</v>
      </c>
      <c r="H64" s="57"/>
      <c r="I64" s="40" t="s">
        <v>103</v>
      </c>
      <c r="J64" s="40" t="s">
        <v>103</v>
      </c>
      <c r="K64" s="40" t="s">
        <v>103</v>
      </c>
    </row>
    <row r="65" spans="1:11">
      <c r="A65" s="273"/>
      <c r="B65" s="263" t="s">
        <v>152</v>
      </c>
      <c r="C65" s="34">
        <v>1</v>
      </c>
      <c r="D65" s="35" t="s">
        <v>89</v>
      </c>
      <c r="E65" s="36">
        <v>750</v>
      </c>
      <c r="F65" s="35"/>
      <c r="G65" s="37">
        <f t="shared" si="1"/>
        <v>750</v>
      </c>
      <c r="H65" s="57"/>
      <c r="I65" s="40" t="s">
        <v>103</v>
      </c>
      <c r="J65" s="40" t="s">
        <v>103</v>
      </c>
      <c r="K65" s="40" t="s">
        <v>103</v>
      </c>
    </row>
    <row r="66" spans="1:11">
      <c r="A66" s="273"/>
      <c r="B66" s="263" t="s">
        <v>153</v>
      </c>
      <c r="C66" s="34">
        <v>10</v>
      </c>
      <c r="D66" s="35" t="s">
        <v>89</v>
      </c>
      <c r="E66" s="36">
        <v>1250</v>
      </c>
      <c r="F66" s="35"/>
      <c r="G66" s="37">
        <f t="shared" si="1"/>
        <v>12500</v>
      </c>
      <c r="H66" s="57"/>
      <c r="I66" s="40" t="s">
        <v>103</v>
      </c>
      <c r="J66" s="40" t="s">
        <v>103</v>
      </c>
      <c r="K66" s="40" t="s">
        <v>103</v>
      </c>
    </row>
    <row r="67" spans="1:11">
      <c r="A67" s="273"/>
      <c r="B67" s="263" t="s">
        <v>154</v>
      </c>
      <c r="C67" s="34">
        <v>16</v>
      </c>
      <c r="D67" s="35" t="s">
        <v>112</v>
      </c>
      <c r="E67" s="36">
        <v>125</v>
      </c>
      <c r="F67" s="35"/>
      <c r="G67" s="37">
        <f t="shared" si="1"/>
        <v>2000</v>
      </c>
      <c r="H67" s="57"/>
      <c r="I67" s="40" t="s">
        <v>103</v>
      </c>
      <c r="J67" s="40" t="s">
        <v>103</v>
      </c>
      <c r="K67" s="40" t="s">
        <v>103</v>
      </c>
    </row>
    <row r="68" spans="1:11">
      <c r="A68" s="273"/>
      <c r="B68" s="263" t="s">
        <v>155</v>
      </c>
      <c r="C68" s="34">
        <v>35</v>
      </c>
      <c r="D68" s="35" t="s">
        <v>112</v>
      </c>
      <c r="E68" s="36">
        <v>100</v>
      </c>
      <c r="F68" s="35"/>
      <c r="G68" s="37">
        <f t="shared" si="1"/>
        <v>3500</v>
      </c>
      <c r="H68" s="57"/>
      <c r="I68" s="40" t="s">
        <v>103</v>
      </c>
      <c r="J68" s="40" t="s">
        <v>103</v>
      </c>
      <c r="K68" s="40" t="s">
        <v>103</v>
      </c>
    </row>
    <row r="69" spans="1:11">
      <c r="A69" s="273"/>
      <c r="B69" s="263" t="s">
        <v>156</v>
      </c>
      <c r="C69" s="34">
        <v>10</v>
      </c>
      <c r="D69" s="35" t="s">
        <v>89</v>
      </c>
      <c r="E69" s="36">
        <v>150</v>
      </c>
      <c r="F69" s="35"/>
      <c r="G69" s="37">
        <f t="shared" si="1"/>
        <v>1500</v>
      </c>
      <c r="H69" s="57"/>
      <c r="I69" s="40" t="s">
        <v>103</v>
      </c>
      <c r="J69" s="40" t="s">
        <v>103</v>
      </c>
      <c r="K69" s="40" t="s">
        <v>103</v>
      </c>
    </row>
    <row r="70" spans="1:11">
      <c r="A70" s="273"/>
      <c r="B70" s="263" t="s">
        <v>157</v>
      </c>
      <c r="C70" s="34">
        <v>144</v>
      </c>
      <c r="D70" s="35" t="s">
        <v>112</v>
      </c>
      <c r="E70" s="36">
        <v>75.5</v>
      </c>
      <c r="F70" s="35"/>
      <c r="G70" s="37">
        <f t="shared" si="1"/>
        <v>10872</v>
      </c>
      <c r="H70" s="57"/>
      <c r="I70" s="40" t="s">
        <v>103</v>
      </c>
      <c r="J70" s="40" t="s">
        <v>103</v>
      </c>
      <c r="K70" s="40" t="s">
        <v>103</v>
      </c>
    </row>
    <row r="71" spans="1:11">
      <c r="A71" s="273"/>
      <c r="B71" s="263" t="s">
        <v>158</v>
      </c>
      <c r="C71" s="34">
        <v>175</v>
      </c>
      <c r="D71" s="35" t="s">
        <v>112</v>
      </c>
      <c r="E71" s="36">
        <v>68.569999999999993</v>
      </c>
      <c r="F71" s="35"/>
      <c r="G71" s="37">
        <f t="shared" si="1"/>
        <v>11999.749999999998</v>
      </c>
      <c r="H71" s="57"/>
      <c r="I71" s="40" t="s">
        <v>103</v>
      </c>
      <c r="J71" s="40" t="s">
        <v>103</v>
      </c>
      <c r="K71" s="40" t="s">
        <v>103</v>
      </c>
    </row>
    <row r="72" spans="1:11">
      <c r="A72" s="273"/>
      <c r="B72" s="263" t="s">
        <v>159</v>
      </c>
      <c r="C72" s="34">
        <v>3</v>
      </c>
      <c r="D72" s="35" t="s">
        <v>89</v>
      </c>
      <c r="E72" s="36">
        <v>1400</v>
      </c>
      <c r="F72" s="35"/>
      <c r="G72" s="37">
        <f t="shared" si="1"/>
        <v>4200</v>
      </c>
      <c r="H72" s="57"/>
      <c r="I72" s="40" t="s">
        <v>103</v>
      </c>
      <c r="J72" s="40" t="s">
        <v>103</v>
      </c>
      <c r="K72" s="40" t="s">
        <v>103</v>
      </c>
    </row>
    <row r="73" spans="1:11">
      <c r="A73" s="273"/>
      <c r="B73" s="263" t="s">
        <v>160</v>
      </c>
      <c r="C73" s="34">
        <v>4</v>
      </c>
      <c r="D73" s="35" t="s">
        <v>89</v>
      </c>
      <c r="E73" s="36">
        <v>2487.5</v>
      </c>
      <c r="F73" s="35"/>
      <c r="G73" s="37">
        <f t="shared" si="1"/>
        <v>9950</v>
      </c>
      <c r="H73" s="57"/>
      <c r="I73" s="40" t="s">
        <v>103</v>
      </c>
      <c r="J73" s="40" t="s">
        <v>103</v>
      </c>
      <c r="K73" s="40" t="s">
        <v>103</v>
      </c>
    </row>
    <row r="74" spans="1:11">
      <c r="A74" s="273"/>
      <c r="B74" s="263" t="s">
        <v>161</v>
      </c>
      <c r="C74" s="34"/>
      <c r="D74" s="35" t="s">
        <v>92</v>
      </c>
      <c r="E74" s="36"/>
      <c r="F74" s="35"/>
      <c r="G74" s="37">
        <f t="shared" si="1"/>
        <v>0</v>
      </c>
      <c r="H74" s="57"/>
      <c r="I74" s="40" t="s">
        <v>103</v>
      </c>
      <c r="J74" s="40" t="s">
        <v>103</v>
      </c>
      <c r="K74" s="40" t="s">
        <v>103</v>
      </c>
    </row>
    <row r="75" spans="1:11">
      <c r="A75" s="273"/>
      <c r="B75" s="263" t="s">
        <v>162</v>
      </c>
      <c r="C75" s="34">
        <v>1</v>
      </c>
      <c r="D75" s="35" t="s">
        <v>163</v>
      </c>
      <c r="E75" s="36">
        <v>20950</v>
      </c>
      <c r="F75" s="35"/>
      <c r="G75" s="37">
        <f t="shared" si="1"/>
        <v>20950</v>
      </c>
      <c r="H75" s="57"/>
      <c r="I75" s="40" t="s">
        <v>103</v>
      </c>
      <c r="J75" s="40" t="s">
        <v>103</v>
      </c>
      <c r="K75" s="40" t="s">
        <v>103</v>
      </c>
    </row>
    <row r="76" spans="1:11">
      <c r="A76" s="273"/>
      <c r="B76" s="263" t="s">
        <v>164</v>
      </c>
      <c r="C76" s="34">
        <v>327</v>
      </c>
      <c r="D76" s="35" t="s">
        <v>112</v>
      </c>
      <c r="E76" s="36">
        <v>100</v>
      </c>
      <c r="F76" s="35"/>
      <c r="G76" s="37">
        <f t="shared" si="1"/>
        <v>32700</v>
      </c>
      <c r="H76" s="57"/>
      <c r="I76" s="40" t="s">
        <v>103</v>
      </c>
      <c r="J76" s="40" t="s">
        <v>103</v>
      </c>
      <c r="K76" s="40" t="s">
        <v>103</v>
      </c>
    </row>
    <row r="77" spans="1:11">
      <c r="A77" s="273"/>
      <c r="B77" s="263" t="s">
        <v>165</v>
      </c>
      <c r="C77" s="34">
        <v>34</v>
      </c>
      <c r="D77" s="35" t="s">
        <v>112</v>
      </c>
      <c r="E77" s="36">
        <v>250</v>
      </c>
      <c r="F77" s="35"/>
      <c r="G77" s="37">
        <f t="shared" si="1"/>
        <v>8500</v>
      </c>
      <c r="H77" s="57"/>
      <c r="I77" s="40" t="s">
        <v>103</v>
      </c>
      <c r="J77" s="40" t="s">
        <v>103</v>
      </c>
      <c r="K77" s="40" t="s">
        <v>103</v>
      </c>
    </row>
    <row r="78" spans="1:11">
      <c r="A78" s="273"/>
      <c r="B78" s="263" t="s">
        <v>166</v>
      </c>
      <c r="C78" s="34">
        <v>20</v>
      </c>
      <c r="D78" s="35" t="s">
        <v>112</v>
      </c>
      <c r="E78" s="36">
        <v>750</v>
      </c>
      <c r="F78" s="35"/>
      <c r="G78" s="37">
        <f t="shared" si="1"/>
        <v>15000</v>
      </c>
      <c r="H78" s="57"/>
      <c r="I78" s="40" t="s">
        <v>103</v>
      </c>
      <c r="J78" s="40" t="s">
        <v>103</v>
      </c>
      <c r="K78" s="40" t="s">
        <v>103</v>
      </c>
    </row>
    <row r="79" spans="1:11">
      <c r="A79" s="273"/>
      <c r="B79" s="263" t="s">
        <v>167</v>
      </c>
      <c r="C79" s="34">
        <v>90</v>
      </c>
      <c r="D79" s="35" t="s">
        <v>112</v>
      </c>
      <c r="E79" s="36">
        <v>150</v>
      </c>
      <c r="F79" s="35"/>
      <c r="G79" s="37">
        <f t="shared" si="1"/>
        <v>13500</v>
      </c>
      <c r="H79" s="57"/>
      <c r="I79" s="40" t="s">
        <v>103</v>
      </c>
      <c r="J79" s="40" t="s">
        <v>103</v>
      </c>
      <c r="K79" s="40" t="s">
        <v>103</v>
      </c>
    </row>
    <row r="80" spans="1:11">
      <c r="A80" s="273"/>
      <c r="B80" s="263" t="s">
        <v>168</v>
      </c>
      <c r="C80" s="34">
        <v>46</v>
      </c>
      <c r="D80" s="35" t="s">
        <v>112</v>
      </c>
      <c r="E80" s="36">
        <v>50</v>
      </c>
      <c r="F80" s="35"/>
      <c r="G80" s="37">
        <f t="shared" si="1"/>
        <v>2300</v>
      </c>
      <c r="H80" s="57"/>
      <c r="I80" s="40" t="s">
        <v>103</v>
      </c>
      <c r="J80" s="40" t="s">
        <v>103</v>
      </c>
      <c r="K80" s="40" t="s">
        <v>103</v>
      </c>
    </row>
    <row r="81" spans="1:11">
      <c r="A81" s="273"/>
      <c r="B81" s="263" t="s">
        <v>169</v>
      </c>
      <c r="C81" s="34">
        <v>80</v>
      </c>
      <c r="D81" s="35" t="s">
        <v>112</v>
      </c>
      <c r="E81" s="36">
        <v>75</v>
      </c>
      <c r="F81" s="35"/>
      <c r="G81" s="37">
        <f t="shared" si="1"/>
        <v>6000</v>
      </c>
      <c r="H81" s="57"/>
      <c r="I81" s="40" t="s">
        <v>103</v>
      </c>
      <c r="J81" s="40" t="s">
        <v>103</v>
      </c>
      <c r="K81" s="40" t="s">
        <v>103</v>
      </c>
    </row>
    <row r="82" spans="1:11">
      <c r="A82" s="273"/>
      <c r="B82" s="263" t="s">
        <v>170</v>
      </c>
      <c r="C82" s="34">
        <v>300</v>
      </c>
      <c r="D82" s="35" t="s">
        <v>112</v>
      </c>
      <c r="E82" s="36">
        <v>75</v>
      </c>
      <c r="F82" s="35"/>
      <c r="G82" s="37">
        <f t="shared" si="1"/>
        <v>22500</v>
      </c>
      <c r="H82" s="57"/>
      <c r="I82" s="40" t="s">
        <v>103</v>
      </c>
      <c r="J82" s="40" t="s">
        <v>103</v>
      </c>
      <c r="K82" s="40" t="s">
        <v>103</v>
      </c>
    </row>
    <row r="83" spans="1:11">
      <c r="A83" s="273"/>
      <c r="B83" s="263" t="s">
        <v>171</v>
      </c>
      <c r="C83" s="34">
        <v>20</v>
      </c>
      <c r="D83" s="35" t="s">
        <v>112</v>
      </c>
      <c r="E83" s="36">
        <v>75</v>
      </c>
      <c r="F83" s="35"/>
      <c r="G83" s="37">
        <f t="shared" si="1"/>
        <v>1500</v>
      </c>
      <c r="H83" s="57"/>
      <c r="I83" s="40" t="s">
        <v>103</v>
      </c>
      <c r="J83" s="40" t="s">
        <v>103</v>
      </c>
      <c r="K83" s="40" t="s">
        <v>103</v>
      </c>
    </row>
    <row r="84" spans="1:11">
      <c r="A84" s="273"/>
      <c r="B84" s="263" t="s">
        <v>172</v>
      </c>
      <c r="C84" s="34">
        <v>80</v>
      </c>
      <c r="D84" s="35" t="s">
        <v>112</v>
      </c>
      <c r="E84" s="36">
        <v>75</v>
      </c>
      <c r="F84" s="35"/>
      <c r="G84" s="37">
        <f t="shared" si="1"/>
        <v>6000</v>
      </c>
      <c r="H84" s="57"/>
      <c r="I84" s="40" t="s">
        <v>103</v>
      </c>
      <c r="J84" s="40" t="s">
        <v>103</v>
      </c>
      <c r="K84" s="40" t="s">
        <v>103</v>
      </c>
    </row>
    <row r="85" spans="1:11">
      <c r="A85" s="273"/>
      <c r="B85" s="263" t="s">
        <v>173</v>
      </c>
      <c r="C85" s="34">
        <v>2</v>
      </c>
      <c r="D85" s="35" t="s">
        <v>174</v>
      </c>
      <c r="E85" s="36">
        <v>5915</v>
      </c>
      <c r="F85" s="35"/>
      <c r="G85" s="37">
        <f t="shared" si="1"/>
        <v>11830</v>
      </c>
      <c r="H85" s="57"/>
      <c r="I85" s="40" t="s">
        <v>103</v>
      </c>
      <c r="J85" s="40" t="s">
        <v>103</v>
      </c>
      <c r="K85" s="40" t="s">
        <v>103</v>
      </c>
    </row>
    <row r="86" spans="1:11">
      <c r="A86" s="273"/>
      <c r="B86" s="263" t="s">
        <v>175</v>
      </c>
      <c r="C86" s="34">
        <v>1</v>
      </c>
      <c r="D86" s="35" t="s">
        <v>92</v>
      </c>
      <c r="E86" s="36">
        <v>15000</v>
      </c>
      <c r="F86" s="35"/>
      <c r="G86" s="37">
        <f t="shared" si="1"/>
        <v>15000</v>
      </c>
      <c r="H86" s="57"/>
      <c r="I86" s="40" t="s">
        <v>103</v>
      </c>
      <c r="J86" s="40" t="s">
        <v>103</v>
      </c>
      <c r="K86" s="40" t="s">
        <v>103</v>
      </c>
    </row>
    <row r="87" spans="1:11">
      <c r="A87" s="273"/>
      <c r="B87" s="263" t="s">
        <v>176</v>
      </c>
      <c r="C87" s="34">
        <v>1</v>
      </c>
      <c r="D87" s="35" t="s">
        <v>89</v>
      </c>
      <c r="E87" s="36">
        <v>3040</v>
      </c>
      <c r="F87" s="35"/>
      <c r="G87" s="37">
        <f t="shared" si="1"/>
        <v>3040</v>
      </c>
      <c r="H87" s="57"/>
      <c r="I87" s="40" t="s">
        <v>103</v>
      </c>
      <c r="J87" s="40" t="s">
        <v>103</v>
      </c>
      <c r="K87" s="40" t="s">
        <v>103</v>
      </c>
    </row>
    <row r="88" spans="1:11">
      <c r="A88" s="273"/>
      <c r="B88" s="263" t="s">
        <v>177</v>
      </c>
      <c r="C88" s="34">
        <v>1</v>
      </c>
      <c r="D88" s="35" t="s">
        <v>89</v>
      </c>
      <c r="E88" s="36">
        <v>3150</v>
      </c>
      <c r="F88" s="35"/>
      <c r="G88" s="37">
        <f t="shared" si="1"/>
        <v>3150</v>
      </c>
      <c r="H88" s="57"/>
      <c r="I88" s="40" t="s">
        <v>103</v>
      </c>
      <c r="J88" s="40" t="s">
        <v>103</v>
      </c>
      <c r="K88" s="40" t="s">
        <v>103</v>
      </c>
    </row>
    <row r="89" spans="1:11">
      <c r="A89" s="273"/>
      <c r="B89" s="263" t="s">
        <v>178</v>
      </c>
      <c r="C89" s="34">
        <v>1</v>
      </c>
      <c r="D89" s="35" t="s">
        <v>89</v>
      </c>
      <c r="E89" s="36">
        <v>1500</v>
      </c>
      <c r="F89" s="35"/>
      <c r="G89" s="37">
        <f t="shared" si="1"/>
        <v>1500</v>
      </c>
      <c r="H89" s="57"/>
      <c r="I89" s="40" t="s">
        <v>103</v>
      </c>
      <c r="J89" s="40" t="s">
        <v>103</v>
      </c>
      <c r="K89" s="40" t="s">
        <v>103</v>
      </c>
    </row>
    <row r="90" spans="1:11">
      <c r="A90" s="273"/>
      <c r="B90" s="263" t="s">
        <v>179</v>
      </c>
      <c r="C90" s="34">
        <v>21</v>
      </c>
      <c r="D90" s="35" t="s">
        <v>112</v>
      </c>
      <c r="E90" s="36">
        <v>255</v>
      </c>
      <c r="F90" s="35"/>
      <c r="G90" s="37">
        <f t="shared" si="1"/>
        <v>5355</v>
      </c>
      <c r="H90" s="57"/>
      <c r="I90" s="40" t="s">
        <v>103</v>
      </c>
      <c r="J90" s="40" t="s">
        <v>103</v>
      </c>
      <c r="K90" s="40" t="s">
        <v>103</v>
      </c>
    </row>
    <row r="91" spans="1:11" s="520" customFormat="1" ht="15.75">
      <c r="A91" s="526"/>
      <c r="B91" s="33" t="s">
        <v>180</v>
      </c>
      <c r="C91" s="34">
        <v>1</v>
      </c>
      <c r="D91" s="35" t="s">
        <v>92</v>
      </c>
      <c r="E91" s="36">
        <v>152378</v>
      </c>
      <c r="F91" s="35"/>
      <c r="G91" s="37">
        <f>E91*C91</f>
        <v>152378</v>
      </c>
      <c r="H91" s="527"/>
      <c r="I91" s="528">
        <v>249925</v>
      </c>
      <c r="J91" s="528">
        <v>169925</v>
      </c>
      <c r="K91" s="528">
        <v>189925</v>
      </c>
    </row>
    <row r="92" spans="1:11" ht="15.75">
      <c r="A92" s="321"/>
      <c r="B92" s="263"/>
      <c r="C92" s="34"/>
      <c r="D92" s="35"/>
      <c r="E92" s="36"/>
      <c r="F92" s="35"/>
      <c r="G92" s="37"/>
      <c r="H92" s="57"/>
      <c r="I92" s="38"/>
      <c r="J92" s="40"/>
      <c r="K92" s="39"/>
    </row>
    <row r="93" spans="1:11" ht="15.75">
      <c r="A93" s="276">
        <f>A49</f>
        <v>5</v>
      </c>
      <c r="B93" s="277" t="str">
        <f>B49</f>
        <v>STRUCTURAL STEEL</v>
      </c>
      <c r="C93" s="246"/>
      <c r="D93" s="247"/>
      <c r="E93" s="248"/>
      <c r="F93" s="310"/>
      <c r="G93" s="249">
        <f>SUM(G49:G92)</f>
        <v>898707.52</v>
      </c>
      <c r="H93" s="58"/>
      <c r="I93" s="250">
        <f>SUM(I50:I92)</f>
        <v>882941</v>
      </c>
      <c r="J93" s="250">
        <f>SUM(J50:J92)</f>
        <v>954511</v>
      </c>
      <c r="K93" s="250">
        <f>SUM(K50:K92)</f>
        <v>849307</v>
      </c>
    </row>
    <row r="94" spans="1:11" s="4" customFormat="1">
      <c r="A94" s="273"/>
      <c r="B94" s="264"/>
      <c r="C94" s="1"/>
      <c r="D94" s="61"/>
      <c r="E94" s="62"/>
      <c r="F94" s="2"/>
      <c r="G94" s="3"/>
      <c r="H94" s="59"/>
      <c r="I94" s="148"/>
      <c r="J94" s="148"/>
      <c r="K94" s="3"/>
    </row>
    <row r="95" spans="1:11" ht="15.75">
      <c r="A95" s="269"/>
      <c r="B95" s="261"/>
      <c r="C95" s="21"/>
      <c r="D95" s="22"/>
      <c r="E95" s="23"/>
      <c r="F95" s="24"/>
      <c r="G95" s="311"/>
      <c r="H95" s="312"/>
      <c r="I95" s="311"/>
      <c r="J95" s="311"/>
      <c r="K95" s="311"/>
    </row>
    <row r="96" spans="1:11" s="520" customFormat="1" ht="78.75">
      <c r="A96" s="512">
        <v>6</v>
      </c>
      <c r="B96" s="513" t="s">
        <v>181</v>
      </c>
      <c r="C96" s="514"/>
      <c r="D96" s="515"/>
      <c r="E96" s="516"/>
      <c r="F96" s="515"/>
      <c r="G96" s="517" t="s">
        <v>802</v>
      </c>
      <c r="H96" s="518"/>
      <c r="I96" s="519" t="s">
        <v>182</v>
      </c>
      <c r="J96" s="519" t="s">
        <v>183</v>
      </c>
      <c r="K96" s="519" t="s">
        <v>184</v>
      </c>
    </row>
    <row r="97" spans="1:11">
      <c r="A97" s="273" t="s">
        <v>75</v>
      </c>
      <c r="B97" s="263"/>
      <c r="C97" s="34"/>
      <c r="D97" s="35"/>
      <c r="E97" s="36"/>
      <c r="F97" s="35"/>
      <c r="G97" s="37"/>
      <c r="H97" s="57"/>
      <c r="I97" s="42"/>
      <c r="J97" s="38"/>
      <c r="K97" s="39"/>
    </row>
    <row r="98" spans="1:11" s="28" customFormat="1" ht="15.75">
      <c r="A98" s="274"/>
      <c r="B98" s="275" t="s">
        <v>85</v>
      </c>
      <c r="C98" s="149"/>
      <c r="D98" s="150"/>
      <c r="E98" s="151"/>
      <c r="F98" s="150"/>
      <c r="G98" s="152"/>
      <c r="H98" s="153"/>
      <c r="I98" s="320">
        <v>1024786</v>
      </c>
      <c r="J98" s="320">
        <v>1058238</v>
      </c>
      <c r="K98" s="320">
        <v>986433</v>
      </c>
    </row>
    <row r="99" spans="1:11" ht="16.5" customHeight="1">
      <c r="A99" s="273"/>
      <c r="B99" s="263" t="s">
        <v>100</v>
      </c>
      <c r="C99" s="33"/>
      <c r="D99" s="33"/>
      <c r="E99" s="36"/>
      <c r="F99" s="35"/>
      <c r="G99" s="37"/>
      <c r="H99" s="57"/>
      <c r="I99" s="63"/>
      <c r="J99" s="63"/>
      <c r="K99" s="39"/>
    </row>
    <row r="100" spans="1:11">
      <c r="A100" s="282"/>
      <c r="B100" s="283"/>
      <c r="C100" s="284"/>
      <c r="D100" s="285"/>
      <c r="E100" s="286"/>
      <c r="F100" s="287"/>
      <c r="G100" s="288"/>
      <c r="H100" s="289"/>
      <c r="I100" s="291"/>
      <c r="J100" s="291"/>
      <c r="K100" s="292"/>
    </row>
    <row r="101" spans="1:11">
      <c r="A101" s="273" t="s">
        <v>75</v>
      </c>
      <c r="B101" s="263" t="s">
        <v>185</v>
      </c>
      <c r="C101" s="34">
        <v>10842</v>
      </c>
      <c r="D101" s="35" t="s">
        <v>87</v>
      </c>
      <c r="E101" s="36">
        <v>11</v>
      </c>
      <c r="F101" s="35"/>
      <c r="G101" s="37">
        <f t="shared" ref="G101:G112" si="2">C101*E101</f>
        <v>119262</v>
      </c>
      <c r="H101" s="57"/>
      <c r="I101" s="64">
        <v>356000</v>
      </c>
      <c r="J101" s="64">
        <v>286000</v>
      </c>
      <c r="K101" s="64">
        <v>458397</v>
      </c>
    </row>
    <row r="102" spans="1:11">
      <c r="A102" s="273" t="s">
        <v>75</v>
      </c>
      <c r="B102" s="263" t="s">
        <v>186</v>
      </c>
      <c r="C102" s="34">
        <v>18683</v>
      </c>
      <c r="D102" s="35" t="s">
        <v>87</v>
      </c>
      <c r="E102" s="36">
        <v>11</v>
      </c>
      <c r="F102" s="35"/>
      <c r="G102" s="37">
        <f t="shared" si="2"/>
        <v>205513</v>
      </c>
      <c r="H102" s="57"/>
      <c r="I102" s="64" t="s">
        <v>187</v>
      </c>
      <c r="J102" s="64" t="s">
        <v>187</v>
      </c>
      <c r="K102" s="64" t="s">
        <v>187</v>
      </c>
    </row>
    <row r="103" spans="1:11">
      <c r="A103" s="273" t="s">
        <v>75</v>
      </c>
      <c r="B103" s="263" t="s">
        <v>188</v>
      </c>
      <c r="C103" s="34">
        <v>29525</v>
      </c>
      <c r="D103" s="35" t="s">
        <v>87</v>
      </c>
      <c r="E103" s="36">
        <v>6.5</v>
      </c>
      <c r="F103" s="35"/>
      <c r="G103" s="37">
        <f t="shared" si="2"/>
        <v>191912.5</v>
      </c>
      <c r="H103" s="57"/>
      <c r="I103" s="64">
        <v>164310</v>
      </c>
      <c r="J103" s="64">
        <v>171150</v>
      </c>
      <c r="K103" s="64">
        <v>164310</v>
      </c>
    </row>
    <row r="104" spans="1:11">
      <c r="A104" s="273" t="s">
        <v>75</v>
      </c>
      <c r="B104" s="263" t="s">
        <v>189</v>
      </c>
      <c r="C104" s="34">
        <v>29525</v>
      </c>
      <c r="D104" s="35" t="s">
        <v>87</v>
      </c>
      <c r="E104" s="36">
        <v>2.4</v>
      </c>
      <c r="F104" s="35"/>
      <c r="G104" s="37">
        <f t="shared" si="2"/>
        <v>70860</v>
      </c>
      <c r="H104" s="57"/>
      <c r="I104" s="64">
        <v>82318</v>
      </c>
      <c r="J104" s="64">
        <f>2.35*C104</f>
        <v>69383.75</v>
      </c>
      <c r="K104" s="64">
        <v>80318</v>
      </c>
    </row>
    <row r="105" spans="1:11">
      <c r="A105" s="273" t="s">
        <v>75</v>
      </c>
      <c r="B105" s="263" t="s">
        <v>190</v>
      </c>
      <c r="C105" s="34">
        <v>445</v>
      </c>
      <c r="D105" s="35" t="s">
        <v>87</v>
      </c>
      <c r="E105" s="36">
        <v>20</v>
      </c>
      <c r="F105" s="35"/>
      <c r="G105" s="37">
        <f t="shared" si="2"/>
        <v>8900</v>
      </c>
      <c r="H105" s="57"/>
      <c r="I105" s="64" t="s">
        <v>103</v>
      </c>
      <c r="J105" s="64" t="s">
        <v>103</v>
      </c>
      <c r="K105" s="64" t="s">
        <v>103</v>
      </c>
    </row>
    <row r="106" spans="1:11">
      <c r="A106" s="273" t="s">
        <v>75</v>
      </c>
      <c r="B106" s="263" t="s">
        <v>191</v>
      </c>
      <c r="C106" s="34">
        <v>9440</v>
      </c>
      <c r="D106" s="35" t="s">
        <v>87</v>
      </c>
      <c r="E106" s="36">
        <v>2</v>
      </c>
      <c r="F106" s="35"/>
      <c r="G106" s="37">
        <f t="shared" si="2"/>
        <v>18880</v>
      </c>
      <c r="H106" s="57"/>
      <c r="I106" s="521">
        <v>20850</v>
      </c>
      <c r="J106" s="521">
        <f>2.1*C106</f>
        <v>19824</v>
      </c>
      <c r="K106" s="521">
        <f>+G106</f>
        <v>18880</v>
      </c>
    </row>
    <row r="107" spans="1:11">
      <c r="A107" s="273" t="s">
        <v>75</v>
      </c>
      <c r="B107" s="263" t="s">
        <v>192</v>
      </c>
      <c r="C107" s="34">
        <v>63980</v>
      </c>
      <c r="D107" s="35" t="s">
        <v>87</v>
      </c>
      <c r="E107" s="36">
        <v>0.65</v>
      </c>
      <c r="F107" s="35"/>
      <c r="G107" s="37">
        <f t="shared" si="2"/>
        <v>41587</v>
      </c>
      <c r="H107" s="57"/>
      <c r="I107" s="64" t="s">
        <v>193</v>
      </c>
      <c r="J107" s="64">
        <v>30307</v>
      </c>
      <c r="K107" s="64" t="s">
        <v>193</v>
      </c>
    </row>
    <row r="108" spans="1:11">
      <c r="A108" s="273" t="s">
        <v>75</v>
      </c>
      <c r="B108" s="263" t="s">
        <v>194</v>
      </c>
      <c r="C108" s="34">
        <v>1625</v>
      </c>
      <c r="D108" s="35" t="s">
        <v>112</v>
      </c>
      <c r="E108" s="36">
        <v>54.25</v>
      </c>
      <c r="F108" s="35"/>
      <c r="G108" s="37">
        <f t="shared" si="2"/>
        <v>88156.25</v>
      </c>
      <c r="H108" s="57"/>
      <c r="I108" s="64" t="s">
        <v>103</v>
      </c>
      <c r="J108" s="64" t="s">
        <v>103</v>
      </c>
      <c r="K108" s="64" t="s">
        <v>103</v>
      </c>
    </row>
    <row r="109" spans="1:11" ht="21.75" customHeight="1">
      <c r="A109" s="273" t="s">
        <v>75</v>
      </c>
      <c r="B109" s="263" t="s">
        <v>195</v>
      </c>
      <c r="C109" s="34">
        <v>4402</v>
      </c>
      <c r="D109" s="35" t="s">
        <v>112</v>
      </c>
      <c r="E109" s="36">
        <v>49.55</v>
      </c>
      <c r="F109" s="35"/>
      <c r="G109" s="37">
        <f t="shared" si="2"/>
        <v>218119.09999999998</v>
      </c>
      <c r="H109" s="57"/>
      <c r="I109" s="64" t="s">
        <v>103</v>
      </c>
      <c r="J109" s="64" t="s">
        <v>103</v>
      </c>
      <c r="K109" s="64" t="s">
        <v>103</v>
      </c>
    </row>
    <row r="110" spans="1:11" ht="30">
      <c r="A110" s="273" t="s">
        <v>75</v>
      </c>
      <c r="B110" s="263" t="s">
        <v>196</v>
      </c>
      <c r="C110" s="34">
        <v>4402</v>
      </c>
      <c r="D110" s="35" t="s">
        <v>112</v>
      </c>
      <c r="E110" s="36">
        <v>79.5</v>
      </c>
      <c r="F110" s="35"/>
      <c r="G110" s="37">
        <f t="shared" si="2"/>
        <v>349959</v>
      </c>
      <c r="H110" s="57"/>
      <c r="I110" s="64" t="s">
        <v>103</v>
      </c>
      <c r="J110" s="64" t="s">
        <v>103</v>
      </c>
      <c r="K110" s="64" t="s">
        <v>103</v>
      </c>
    </row>
    <row r="111" spans="1:11">
      <c r="A111" s="273" t="s">
        <v>75</v>
      </c>
      <c r="B111" s="263" t="s">
        <v>197</v>
      </c>
      <c r="C111" s="34">
        <v>6027</v>
      </c>
      <c r="D111" s="35" t="s">
        <v>112</v>
      </c>
      <c r="E111" s="36">
        <f>10148/6027</f>
        <v>1.6837564294010288</v>
      </c>
      <c r="F111" s="35"/>
      <c r="G111" s="37">
        <f t="shared" si="2"/>
        <v>10148</v>
      </c>
      <c r="H111" s="57"/>
      <c r="I111" s="64" t="s">
        <v>103</v>
      </c>
      <c r="J111" s="64" t="s">
        <v>103</v>
      </c>
      <c r="K111" s="64" t="s">
        <v>103</v>
      </c>
    </row>
    <row r="112" spans="1:11">
      <c r="A112" s="273" t="s">
        <v>75</v>
      </c>
      <c r="B112" s="263" t="s">
        <v>198</v>
      </c>
      <c r="C112" s="34">
        <v>6207</v>
      </c>
      <c r="D112" s="35" t="s">
        <v>112</v>
      </c>
      <c r="E112" s="36">
        <f>211307/6207</f>
        <v>34.043338166586111</v>
      </c>
      <c r="F112" s="35"/>
      <c r="G112" s="37">
        <f t="shared" si="2"/>
        <v>211307</v>
      </c>
      <c r="H112" s="57"/>
      <c r="I112" s="64" t="s">
        <v>103</v>
      </c>
      <c r="J112" s="64" t="s">
        <v>103</v>
      </c>
      <c r="K112" s="64" t="s">
        <v>103</v>
      </c>
    </row>
    <row r="113" spans="1:11" ht="15.75" thickBot="1">
      <c r="A113" s="273" t="s">
        <v>75</v>
      </c>
      <c r="B113" s="263"/>
      <c r="C113" s="34"/>
      <c r="D113" s="35"/>
      <c r="E113" s="36"/>
      <c r="F113" s="35"/>
      <c r="G113" s="37"/>
      <c r="H113" s="57"/>
      <c r="I113" s="64"/>
      <c r="J113" s="53"/>
      <c r="K113" s="64"/>
    </row>
    <row r="114" spans="1:11" ht="16.5" thickBot="1">
      <c r="A114" s="276">
        <f>A96</f>
        <v>6</v>
      </c>
      <c r="B114" s="277" t="str">
        <f>B96</f>
        <v>WOOD STRUCTURE</v>
      </c>
      <c r="C114" s="246"/>
      <c r="D114" s="247"/>
      <c r="E114" s="248"/>
      <c r="F114" s="310"/>
      <c r="G114" s="249">
        <f>SUM(G96:G113)</f>
        <v>1534603.85</v>
      </c>
      <c r="H114" s="58"/>
      <c r="I114" s="250">
        <f>SUM(I97:I113)</f>
        <v>1648264</v>
      </c>
      <c r="J114" s="250">
        <f>SUM(J97:J113)</f>
        <v>1634902.75</v>
      </c>
      <c r="K114" s="250">
        <f>SUM(K97:K113)</f>
        <v>1708338</v>
      </c>
    </row>
    <row r="115" spans="1:11" s="4" customFormat="1" ht="15.75" thickBot="1">
      <c r="A115" s="273"/>
      <c r="B115" s="264"/>
      <c r="C115" s="1"/>
      <c r="D115" s="61"/>
      <c r="E115" s="62"/>
      <c r="F115" s="2"/>
      <c r="G115" s="3"/>
      <c r="H115" s="59"/>
      <c r="I115" s="148"/>
      <c r="J115" s="148"/>
      <c r="K115" s="3"/>
    </row>
    <row r="116" spans="1:11" ht="47.25">
      <c r="A116" s="512">
        <v>7</v>
      </c>
      <c r="B116" s="513" t="s">
        <v>236</v>
      </c>
      <c r="C116" s="514"/>
      <c r="D116" s="515"/>
      <c r="E116" s="522"/>
      <c r="F116" s="515"/>
      <c r="G116" s="517" t="s">
        <v>802</v>
      </c>
      <c r="H116" s="518"/>
      <c r="I116" s="519" t="s">
        <v>237</v>
      </c>
      <c r="J116" s="519" t="s">
        <v>238</v>
      </c>
      <c r="K116" s="519" t="s">
        <v>239</v>
      </c>
    </row>
    <row r="117" spans="1:11">
      <c r="A117" s="273" t="s">
        <v>75</v>
      </c>
      <c r="B117" s="263"/>
      <c r="C117" s="34"/>
      <c r="D117" s="35"/>
      <c r="E117" s="36"/>
      <c r="F117" s="35"/>
      <c r="G117" s="37"/>
      <c r="H117" s="57"/>
      <c r="I117" s="43"/>
      <c r="J117" s="43"/>
      <c r="K117" s="43"/>
    </row>
    <row r="118" spans="1:11" ht="15.75">
      <c r="A118" s="274"/>
      <c r="B118" s="275" t="s">
        <v>85</v>
      </c>
      <c r="C118" s="149"/>
      <c r="D118" s="150"/>
      <c r="E118" s="151"/>
      <c r="F118" s="150"/>
      <c r="G118" s="152"/>
      <c r="H118" s="153"/>
      <c r="I118" s="154">
        <v>147000</v>
      </c>
      <c r="J118" s="154">
        <v>145000</v>
      </c>
      <c r="K118" s="154">
        <v>153000</v>
      </c>
    </row>
    <row r="119" spans="1:11">
      <c r="A119" s="273"/>
      <c r="B119" s="263" t="s">
        <v>100</v>
      </c>
      <c r="C119" s="33"/>
      <c r="D119" s="33"/>
      <c r="E119" s="36"/>
      <c r="F119" s="35"/>
      <c r="G119" s="37"/>
      <c r="H119" s="57"/>
      <c r="I119" s="41"/>
      <c r="J119" s="41"/>
      <c r="K119" s="41"/>
    </row>
    <row r="120" spans="1:11">
      <c r="A120" s="282"/>
      <c r="B120" s="283"/>
      <c r="C120" s="284"/>
      <c r="D120" s="285"/>
      <c r="E120" s="286"/>
      <c r="F120" s="287"/>
      <c r="G120" s="288"/>
      <c r="H120" s="289"/>
      <c r="I120" s="290"/>
      <c r="J120" s="290"/>
      <c r="K120" s="290"/>
    </row>
    <row r="121" spans="1:11">
      <c r="A121" s="273" t="s">
        <v>75</v>
      </c>
      <c r="B121" s="263"/>
      <c r="C121" s="34"/>
      <c r="D121" s="35"/>
      <c r="E121" s="36"/>
      <c r="F121" s="35"/>
      <c r="G121" s="37"/>
      <c r="H121" s="57"/>
      <c r="I121" s="523"/>
      <c r="J121" s="523"/>
      <c r="K121" s="523"/>
    </row>
    <row r="122" spans="1:11">
      <c r="A122" s="273" t="s">
        <v>75</v>
      </c>
      <c r="B122" s="263"/>
      <c r="C122" s="34"/>
      <c r="D122" s="35"/>
      <c r="E122" s="36"/>
      <c r="F122" s="35"/>
      <c r="G122" s="37"/>
      <c r="H122" s="57"/>
      <c r="I122" s="523"/>
      <c r="J122" s="523"/>
      <c r="K122" s="523"/>
    </row>
    <row r="123" spans="1:11" ht="16.5" thickBot="1">
      <c r="A123" s="305"/>
      <c r="B123" s="263"/>
      <c r="C123" s="34"/>
      <c r="D123" s="35"/>
      <c r="E123" s="36"/>
      <c r="F123" s="318"/>
      <c r="G123" s="37"/>
      <c r="H123" s="57"/>
      <c r="I123" s="39"/>
      <c r="J123" s="40"/>
      <c r="K123" s="40"/>
    </row>
    <row r="124" spans="1:11" ht="16.5" thickBot="1">
      <c r="A124" s="276">
        <f>A116</f>
        <v>7</v>
      </c>
      <c r="B124" s="277" t="str">
        <f>B116</f>
        <v>INSULATION</v>
      </c>
      <c r="C124" s="246"/>
      <c r="D124" s="247"/>
      <c r="E124" s="248"/>
      <c r="F124" s="310"/>
      <c r="G124" s="249">
        <v>160000</v>
      </c>
      <c r="H124" s="58"/>
      <c r="I124" s="250">
        <f>SUM(I117:I123)</f>
        <v>147000</v>
      </c>
      <c r="J124" s="250">
        <f>SUM(J117:J123)</f>
        <v>145000</v>
      </c>
      <c r="K124" s="250">
        <f>SUM(K117:K123)</f>
        <v>153000</v>
      </c>
    </row>
    <row r="125" spans="1:11" ht="16.5" thickBot="1">
      <c r="A125" s="269"/>
      <c r="B125" s="261"/>
      <c r="C125" s="21"/>
      <c r="D125" s="22"/>
      <c r="E125" s="23"/>
      <c r="F125" s="24"/>
      <c r="G125" s="311"/>
      <c r="H125" s="312"/>
      <c r="I125" s="311"/>
      <c r="J125" s="311"/>
      <c r="K125" s="311"/>
    </row>
    <row r="126" spans="1:11" s="520" customFormat="1" ht="94.5">
      <c r="A126" s="512" t="s">
        <v>788</v>
      </c>
      <c r="B126" s="513" t="s">
        <v>789</v>
      </c>
      <c r="C126" s="514"/>
      <c r="D126" s="515"/>
      <c r="E126" s="522"/>
      <c r="F126" s="515"/>
      <c r="G126" s="517" t="s">
        <v>802</v>
      </c>
      <c r="H126" s="518"/>
      <c r="I126" s="519" t="s">
        <v>202</v>
      </c>
      <c r="J126" s="519" t="s">
        <v>203</v>
      </c>
      <c r="K126" s="519" t="s">
        <v>204</v>
      </c>
    </row>
    <row r="127" spans="1:11">
      <c r="A127" s="273" t="s">
        <v>75</v>
      </c>
      <c r="B127" s="263"/>
      <c r="C127" s="34"/>
      <c r="D127" s="35"/>
      <c r="E127" s="36"/>
      <c r="F127" s="35"/>
      <c r="G127" s="37"/>
      <c r="H127" s="57"/>
      <c r="I127" s="43"/>
      <c r="J127" s="43"/>
      <c r="K127" s="43"/>
    </row>
    <row r="128" spans="1:11" s="28" customFormat="1" ht="15.75">
      <c r="A128" s="274"/>
      <c r="B128" s="275" t="s">
        <v>85</v>
      </c>
      <c r="C128" s="149"/>
      <c r="D128" s="150"/>
      <c r="E128" s="151"/>
      <c r="F128" s="150"/>
      <c r="G128" s="152"/>
      <c r="H128" s="153"/>
      <c r="I128" s="156">
        <v>524428</v>
      </c>
      <c r="J128" s="154">
        <v>597269</v>
      </c>
      <c r="K128" s="156">
        <v>592870</v>
      </c>
    </row>
    <row r="129" spans="1:11" ht="16.5" customHeight="1">
      <c r="A129" s="273"/>
      <c r="B129" s="263" t="s">
        <v>100</v>
      </c>
      <c r="C129" s="33"/>
      <c r="D129" s="33"/>
      <c r="E129" s="36"/>
      <c r="F129" s="35"/>
      <c r="G129" s="37"/>
      <c r="H129" s="57"/>
      <c r="I129" s="39" t="s">
        <v>65</v>
      </c>
      <c r="J129" s="41"/>
      <c r="K129" s="39" t="s">
        <v>65</v>
      </c>
    </row>
    <row r="130" spans="1:11" ht="14.1" customHeight="1">
      <c r="A130" s="282"/>
      <c r="B130" s="283"/>
      <c r="C130" s="284"/>
      <c r="D130" s="285"/>
      <c r="E130" s="286"/>
      <c r="F130" s="287"/>
      <c r="G130" s="288"/>
      <c r="H130" s="289"/>
      <c r="I130" s="292"/>
      <c r="J130" s="290"/>
      <c r="K130" s="292"/>
    </row>
    <row r="131" spans="1:11">
      <c r="A131" s="273" t="s">
        <v>75</v>
      </c>
      <c r="B131" s="263" t="s">
        <v>205</v>
      </c>
      <c r="C131" s="34">
        <v>5797</v>
      </c>
      <c r="D131" s="35" t="s">
        <v>87</v>
      </c>
      <c r="E131" s="36">
        <v>5</v>
      </c>
      <c r="F131" s="35"/>
      <c r="G131" s="37">
        <f>C131*E131</f>
        <v>28985</v>
      </c>
      <c r="H131" s="57"/>
      <c r="I131" s="64" t="s">
        <v>103</v>
      </c>
      <c r="J131" s="64" t="s">
        <v>103</v>
      </c>
      <c r="K131" s="64" t="s">
        <v>103</v>
      </c>
    </row>
    <row r="132" spans="1:11">
      <c r="A132" s="273" t="s">
        <v>75</v>
      </c>
      <c r="B132" s="263" t="s">
        <v>206</v>
      </c>
      <c r="C132" s="34">
        <v>4880</v>
      </c>
      <c r="D132" s="35" t="s">
        <v>87</v>
      </c>
      <c r="E132" s="36">
        <v>5</v>
      </c>
      <c r="F132" s="35"/>
      <c r="G132" s="37">
        <f>C132*E132</f>
        <v>24400</v>
      </c>
      <c r="H132" s="57"/>
      <c r="I132" s="64" t="s">
        <v>103</v>
      </c>
      <c r="J132" s="64" t="s">
        <v>103</v>
      </c>
      <c r="K132" s="64" t="s">
        <v>103</v>
      </c>
    </row>
    <row r="133" spans="1:11">
      <c r="A133" s="273" t="s">
        <v>75</v>
      </c>
      <c r="B133" s="263" t="s">
        <v>207</v>
      </c>
      <c r="C133" s="34">
        <v>8996</v>
      </c>
      <c r="D133" s="33" t="s">
        <v>87</v>
      </c>
      <c r="E133" s="36">
        <v>14</v>
      </c>
      <c r="F133" s="35"/>
      <c r="G133" s="37">
        <f t="shared" ref="G133:G142" si="3">C133*E133</f>
        <v>125944</v>
      </c>
      <c r="H133" s="57"/>
      <c r="I133" s="64" t="s">
        <v>103</v>
      </c>
      <c r="J133" s="64" t="s">
        <v>103</v>
      </c>
      <c r="K133" s="64" t="s">
        <v>103</v>
      </c>
    </row>
    <row r="134" spans="1:11">
      <c r="A134" s="273" t="s">
        <v>75</v>
      </c>
      <c r="B134" s="263" t="s">
        <v>208</v>
      </c>
      <c r="C134" s="34">
        <v>5797</v>
      </c>
      <c r="D134" s="33" t="s">
        <v>87</v>
      </c>
      <c r="E134" s="36">
        <v>14</v>
      </c>
      <c r="F134" s="35"/>
      <c r="G134" s="37">
        <f t="shared" si="3"/>
        <v>81158</v>
      </c>
      <c r="H134" s="57"/>
      <c r="I134" s="64" t="s">
        <v>103</v>
      </c>
      <c r="J134" s="64" t="s">
        <v>103</v>
      </c>
      <c r="K134" s="64" t="s">
        <v>103</v>
      </c>
    </row>
    <row r="135" spans="1:11">
      <c r="A135" s="273" t="s">
        <v>75</v>
      </c>
      <c r="B135" s="263" t="s">
        <v>209</v>
      </c>
      <c r="C135" s="34">
        <v>4880</v>
      </c>
      <c r="D135" s="33" t="s">
        <v>87</v>
      </c>
      <c r="E135" s="36">
        <v>14</v>
      </c>
      <c r="F135" s="35"/>
      <c r="G135" s="37">
        <f t="shared" si="3"/>
        <v>68320</v>
      </c>
      <c r="H135" s="57"/>
      <c r="I135" s="64" t="s">
        <v>103</v>
      </c>
      <c r="J135" s="64" t="s">
        <v>103</v>
      </c>
      <c r="K135" s="64" t="s">
        <v>103</v>
      </c>
    </row>
    <row r="136" spans="1:11">
      <c r="A136" s="273" t="s">
        <v>75</v>
      </c>
      <c r="B136" s="263" t="s">
        <v>210</v>
      </c>
      <c r="C136" s="34">
        <v>2298</v>
      </c>
      <c r="D136" s="33" t="s">
        <v>87</v>
      </c>
      <c r="E136" s="36">
        <v>3.5</v>
      </c>
      <c r="F136" s="35"/>
      <c r="G136" s="37">
        <f t="shared" si="3"/>
        <v>8043</v>
      </c>
      <c r="H136" s="57"/>
      <c r="I136" s="64" t="s">
        <v>103</v>
      </c>
      <c r="J136" s="64" t="s">
        <v>103</v>
      </c>
      <c r="K136" s="64" t="s">
        <v>103</v>
      </c>
    </row>
    <row r="137" spans="1:11">
      <c r="A137" s="273" t="s">
        <v>75</v>
      </c>
      <c r="B137" s="263" t="s">
        <v>211</v>
      </c>
      <c r="C137" s="34">
        <v>19710</v>
      </c>
      <c r="D137" s="33" t="s">
        <v>87</v>
      </c>
      <c r="E137" s="36">
        <v>8</v>
      </c>
      <c r="F137" s="35"/>
      <c r="G137" s="37">
        <f t="shared" si="3"/>
        <v>157680</v>
      </c>
      <c r="H137" s="57"/>
      <c r="I137" s="64" t="s">
        <v>103</v>
      </c>
      <c r="J137" s="64" t="s">
        <v>103</v>
      </c>
      <c r="K137" s="64" t="s">
        <v>103</v>
      </c>
    </row>
    <row r="138" spans="1:11">
      <c r="A138" s="273" t="s">
        <v>75</v>
      </c>
      <c r="B138" s="263" t="s">
        <v>212</v>
      </c>
      <c r="C138" s="34">
        <v>708</v>
      </c>
      <c r="D138" s="33" t="s">
        <v>87</v>
      </c>
      <c r="E138" s="36">
        <v>10</v>
      </c>
      <c r="F138" s="35"/>
      <c r="G138" s="37">
        <f t="shared" si="3"/>
        <v>7080</v>
      </c>
      <c r="H138" s="57"/>
      <c r="I138" s="64" t="s">
        <v>103</v>
      </c>
      <c r="J138" s="64" t="s">
        <v>103</v>
      </c>
      <c r="K138" s="64" t="s">
        <v>103</v>
      </c>
    </row>
    <row r="139" spans="1:11">
      <c r="A139" s="273" t="s">
        <v>75</v>
      </c>
      <c r="B139" s="263" t="s">
        <v>213</v>
      </c>
      <c r="C139" s="34">
        <v>3508</v>
      </c>
      <c r="D139" s="33" t="s">
        <v>87</v>
      </c>
      <c r="E139" s="36">
        <v>6.5</v>
      </c>
      <c r="F139" s="35"/>
      <c r="G139" s="37">
        <f t="shared" si="3"/>
        <v>22802</v>
      </c>
      <c r="H139" s="57"/>
      <c r="I139" s="64" t="s">
        <v>103</v>
      </c>
      <c r="J139" s="64" t="s">
        <v>103</v>
      </c>
      <c r="K139" s="64" t="s">
        <v>103</v>
      </c>
    </row>
    <row r="140" spans="1:11" ht="15" customHeight="1">
      <c r="A140" s="273" t="s">
        <v>75</v>
      </c>
      <c r="B140" s="263" t="s">
        <v>214</v>
      </c>
      <c r="C140" s="34">
        <v>381</v>
      </c>
      <c r="D140" s="33" t="s">
        <v>87</v>
      </c>
      <c r="E140" s="36">
        <v>8.5</v>
      </c>
      <c r="F140" s="35"/>
      <c r="G140" s="37">
        <f t="shared" si="3"/>
        <v>3238.5</v>
      </c>
      <c r="H140" s="57"/>
      <c r="I140" s="64" t="s">
        <v>103</v>
      </c>
      <c r="J140" s="64" t="s">
        <v>103</v>
      </c>
      <c r="K140" s="64" t="s">
        <v>103</v>
      </c>
    </row>
    <row r="141" spans="1:11">
      <c r="A141" s="273" t="s">
        <v>75</v>
      </c>
      <c r="B141" s="263" t="s">
        <v>215</v>
      </c>
      <c r="C141" s="34">
        <v>313</v>
      </c>
      <c r="D141" s="33" t="s">
        <v>87</v>
      </c>
      <c r="E141" s="36">
        <v>15</v>
      </c>
      <c r="F141" s="35"/>
      <c r="G141" s="37">
        <f t="shared" si="3"/>
        <v>4695</v>
      </c>
      <c r="H141" s="57"/>
      <c r="I141" s="64" t="s">
        <v>103</v>
      </c>
      <c r="J141" s="64" t="s">
        <v>103</v>
      </c>
      <c r="K141" s="64" t="s">
        <v>103</v>
      </c>
    </row>
    <row r="142" spans="1:11">
      <c r="A142" s="273" t="s">
        <v>75</v>
      </c>
      <c r="B142" s="263" t="s">
        <v>216</v>
      </c>
      <c r="C142" s="34">
        <v>100</v>
      </c>
      <c r="D142" s="33" t="s">
        <v>87</v>
      </c>
      <c r="E142" s="36">
        <v>12</v>
      </c>
      <c r="F142" s="35"/>
      <c r="G142" s="37">
        <f t="shared" si="3"/>
        <v>1200</v>
      </c>
      <c r="H142" s="57"/>
      <c r="I142" s="64" t="s">
        <v>103</v>
      </c>
      <c r="J142" s="64" t="s">
        <v>103</v>
      </c>
      <c r="K142" s="64" t="s">
        <v>103</v>
      </c>
    </row>
    <row r="143" spans="1:11" ht="30">
      <c r="A143" s="305"/>
      <c r="B143" s="263" t="s">
        <v>217</v>
      </c>
      <c r="C143" s="34">
        <v>2196</v>
      </c>
      <c r="D143" s="35" t="s">
        <v>87</v>
      </c>
      <c r="E143" s="36">
        <v>9.75</v>
      </c>
      <c r="F143" s="35"/>
      <c r="G143" s="37">
        <f>E143*C143</f>
        <v>21411</v>
      </c>
      <c r="H143" s="57"/>
      <c r="I143" s="64" t="s">
        <v>103</v>
      </c>
      <c r="J143" s="64" t="s">
        <v>103</v>
      </c>
      <c r="K143" s="64" t="s">
        <v>103</v>
      </c>
    </row>
    <row r="144" spans="1:11" ht="15.75">
      <c r="A144" s="305"/>
      <c r="B144" s="263"/>
      <c r="C144" s="34"/>
      <c r="D144" s="35"/>
      <c r="E144" s="36"/>
      <c r="F144" s="318"/>
      <c r="G144" s="37"/>
      <c r="H144" s="57"/>
      <c r="I144" s="39"/>
      <c r="J144" s="40"/>
      <c r="K144" s="40"/>
    </row>
    <row r="145" spans="1:11" ht="15.75">
      <c r="A145" s="276" t="str">
        <f>A126</f>
        <v>9A</v>
      </c>
      <c r="B145" s="277" t="str">
        <f>B126</f>
        <v>DRYWALL</v>
      </c>
      <c r="C145" s="246"/>
      <c r="D145" s="247"/>
      <c r="E145" s="248"/>
      <c r="F145" s="310"/>
      <c r="G145" s="249">
        <f>SUM(G126:G144)</f>
        <v>554956.5</v>
      </c>
      <c r="H145" s="58"/>
      <c r="I145" s="250">
        <f>SUM(I127:I144)</f>
        <v>524428</v>
      </c>
      <c r="J145" s="250">
        <f>SUM(J127:J144)</f>
        <v>597269</v>
      </c>
      <c r="K145" s="250">
        <f>SUM(K127:K144)</f>
        <v>592870</v>
      </c>
    </row>
    <row r="146" spans="1:11" s="4" customFormat="1">
      <c r="A146" s="273"/>
      <c r="B146" s="264"/>
      <c r="C146" s="1"/>
      <c r="D146" s="61"/>
      <c r="E146" s="62"/>
      <c r="F146" s="2"/>
      <c r="G146" s="3"/>
      <c r="H146" s="59"/>
      <c r="I146" s="3"/>
      <c r="J146" s="3"/>
      <c r="K146" s="3"/>
    </row>
    <row r="147" spans="1:11" s="520" customFormat="1" ht="31.5">
      <c r="A147" s="512" t="s">
        <v>790</v>
      </c>
      <c r="B147" s="513" t="s">
        <v>791</v>
      </c>
      <c r="C147" s="514"/>
      <c r="D147" s="515"/>
      <c r="E147" s="522"/>
      <c r="F147" s="515"/>
      <c r="G147" s="517" t="s">
        <v>802</v>
      </c>
      <c r="H147" s="518"/>
      <c r="I147" s="519" t="s">
        <v>795</v>
      </c>
      <c r="J147" s="519" t="s">
        <v>796</v>
      </c>
      <c r="K147" s="519" t="s">
        <v>797</v>
      </c>
    </row>
    <row r="148" spans="1:11">
      <c r="A148" s="273" t="s">
        <v>75</v>
      </c>
      <c r="B148" s="263"/>
      <c r="C148" s="34"/>
      <c r="D148" s="35"/>
      <c r="E148" s="36"/>
      <c r="F148" s="35"/>
      <c r="G148" s="37"/>
      <c r="H148" s="57"/>
      <c r="I148" s="43"/>
      <c r="J148" s="43"/>
      <c r="K148" s="43"/>
    </row>
    <row r="149" spans="1:11" s="28" customFormat="1" ht="15.75">
      <c r="A149" s="274"/>
      <c r="B149" s="275" t="s">
        <v>85</v>
      </c>
      <c r="C149" s="149"/>
      <c r="D149" s="150"/>
      <c r="E149" s="151"/>
      <c r="F149" s="150"/>
      <c r="G149" s="152"/>
      <c r="H149" s="153"/>
      <c r="I149" s="154">
        <v>131759.67999999999</v>
      </c>
      <c r="J149" s="154">
        <v>73775</v>
      </c>
      <c r="K149" s="154">
        <v>83923</v>
      </c>
    </row>
    <row r="150" spans="1:11" ht="16.5" customHeight="1">
      <c r="A150" s="273"/>
      <c r="B150" s="263" t="s">
        <v>100</v>
      </c>
      <c r="C150" s="33"/>
      <c r="D150" s="33"/>
      <c r="E150" s="36"/>
      <c r="F150" s="35"/>
      <c r="G150" s="37"/>
      <c r="H150" s="57"/>
      <c r="I150" s="41"/>
      <c r="J150" s="41"/>
      <c r="K150" s="41"/>
    </row>
    <row r="151" spans="1:11">
      <c r="A151" s="282"/>
      <c r="B151" s="283"/>
      <c r="C151" s="284"/>
      <c r="D151" s="285"/>
      <c r="E151" s="286"/>
      <c r="F151" s="287"/>
      <c r="G151" s="288"/>
      <c r="H151" s="289"/>
      <c r="I151" s="290"/>
      <c r="J151" s="290"/>
      <c r="K151" s="290"/>
    </row>
    <row r="152" spans="1:11">
      <c r="A152" s="273" t="s">
        <v>75</v>
      </c>
      <c r="B152" s="263" t="s">
        <v>799</v>
      </c>
      <c r="C152" s="34">
        <v>423</v>
      </c>
      <c r="D152" s="35" t="s">
        <v>218</v>
      </c>
      <c r="E152" s="36">
        <v>39</v>
      </c>
      <c r="F152" s="35"/>
      <c r="G152" s="37">
        <f t="shared" ref="G152:G155" si="4">C152*E152</f>
        <v>16497</v>
      </c>
      <c r="H152" s="57"/>
      <c r="I152" s="523" t="s">
        <v>103</v>
      </c>
      <c r="J152" s="523">
        <f>16748+734+545</f>
        <v>18027</v>
      </c>
      <c r="K152" s="523" t="s">
        <v>103</v>
      </c>
    </row>
    <row r="153" spans="1:11">
      <c r="A153" s="273" t="s">
        <v>75</v>
      </c>
      <c r="B153" s="263" t="s">
        <v>798</v>
      </c>
      <c r="C153" s="34">
        <v>22180</v>
      </c>
      <c r="D153" s="35" t="s">
        <v>87</v>
      </c>
      <c r="E153" s="36">
        <v>4.3499999999999996</v>
      </c>
      <c r="F153" s="35"/>
      <c r="G153" s="37">
        <f t="shared" si="4"/>
        <v>96482.999999999985</v>
      </c>
      <c r="H153" s="57"/>
      <c r="I153" s="523" t="s">
        <v>103</v>
      </c>
      <c r="J153" s="523" t="s">
        <v>103</v>
      </c>
      <c r="K153" s="523">
        <f>+G153</f>
        <v>96482.999999999985</v>
      </c>
    </row>
    <row r="154" spans="1:11">
      <c r="A154" s="273" t="s">
        <v>75</v>
      </c>
      <c r="B154" s="263" t="s">
        <v>801</v>
      </c>
      <c r="C154" s="34">
        <v>4100</v>
      </c>
      <c r="D154" s="35" t="s">
        <v>87</v>
      </c>
      <c r="E154" s="36">
        <v>2.4</v>
      </c>
      <c r="F154" s="35"/>
      <c r="G154" s="37">
        <f t="shared" si="4"/>
        <v>9840</v>
      </c>
      <c r="H154" s="57"/>
      <c r="I154" s="523" t="s">
        <v>103</v>
      </c>
      <c r="J154" s="523">
        <v>12540</v>
      </c>
      <c r="K154" s="523" t="s">
        <v>103</v>
      </c>
    </row>
    <row r="155" spans="1:11">
      <c r="A155" s="273" t="s">
        <v>75</v>
      </c>
      <c r="B155" s="263" t="s">
        <v>800</v>
      </c>
      <c r="C155" s="34">
        <v>3600</v>
      </c>
      <c r="D155" s="35" t="s">
        <v>112</v>
      </c>
      <c r="E155" s="36">
        <v>1.25</v>
      </c>
      <c r="F155" s="35"/>
      <c r="G155" s="37">
        <f t="shared" si="4"/>
        <v>4500</v>
      </c>
      <c r="H155" s="57"/>
      <c r="I155" s="523" t="s">
        <v>103</v>
      </c>
      <c r="J155" s="523">
        <f>227+4572</f>
        <v>4799</v>
      </c>
      <c r="K155" s="523" t="s">
        <v>103</v>
      </c>
    </row>
    <row r="156" spans="1:11" ht="15.75">
      <c r="A156" s="305"/>
      <c r="B156" s="263"/>
      <c r="C156" s="34"/>
      <c r="D156" s="35"/>
      <c r="E156" s="36"/>
      <c r="F156" s="318"/>
      <c r="G156" s="37"/>
      <c r="H156" s="57"/>
      <c r="I156" s="39"/>
      <c r="J156" s="40"/>
      <c r="K156" s="40"/>
    </row>
    <row r="157" spans="1:11" ht="15.75">
      <c r="A157" s="276" t="str">
        <f>A147</f>
        <v>9B</v>
      </c>
      <c r="B157" s="277" t="str">
        <f>B147</f>
        <v>CEILINGS</v>
      </c>
      <c r="C157" s="246"/>
      <c r="D157" s="247"/>
      <c r="E157" s="248"/>
      <c r="F157" s="310"/>
      <c r="G157" s="249">
        <f>SUM(G147:G156)</f>
        <v>127319.99999999999</v>
      </c>
      <c r="H157" s="58"/>
      <c r="I157" s="250">
        <f>SUM(I148:I156)</f>
        <v>131759.67999999999</v>
      </c>
      <c r="J157" s="250">
        <f>SUM(J148:J156)</f>
        <v>109141</v>
      </c>
      <c r="K157" s="250">
        <f>SUM(K148:K156)</f>
        <v>180406</v>
      </c>
    </row>
    <row r="158" spans="1:11" ht="15.75">
      <c r="A158" s="269"/>
      <c r="B158" s="261"/>
      <c r="C158" s="21"/>
      <c r="D158" s="22"/>
      <c r="E158" s="23"/>
      <c r="F158" s="24"/>
      <c r="G158" s="311"/>
      <c r="H158" s="312"/>
      <c r="I158" s="311"/>
      <c r="J158" s="311"/>
      <c r="K158" s="311"/>
    </row>
    <row r="159" spans="1:11" s="520" customFormat="1" ht="47.25">
      <c r="A159" s="512" t="s">
        <v>792</v>
      </c>
      <c r="B159" s="513" t="s">
        <v>220</v>
      </c>
      <c r="C159" s="514"/>
      <c r="D159" s="515"/>
      <c r="E159" s="522"/>
      <c r="F159" s="515"/>
      <c r="G159" s="517" t="s">
        <v>802</v>
      </c>
      <c r="H159" s="518"/>
      <c r="I159" s="519" t="s">
        <v>221</v>
      </c>
      <c r="J159" s="519" t="s">
        <v>222</v>
      </c>
      <c r="K159" s="519" t="s">
        <v>223</v>
      </c>
    </row>
    <row r="160" spans="1:11">
      <c r="A160" s="273" t="s">
        <v>75</v>
      </c>
      <c r="B160" s="263"/>
      <c r="C160" s="34"/>
      <c r="D160" s="35"/>
      <c r="E160" s="36"/>
      <c r="F160" s="35"/>
      <c r="G160" s="37"/>
      <c r="H160" s="57"/>
      <c r="I160" s="43"/>
      <c r="J160" s="42"/>
      <c r="K160" s="43"/>
    </row>
    <row r="161" spans="1:11" s="28" customFormat="1" ht="15.75">
      <c r="A161" s="274"/>
      <c r="B161" s="275" t="s">
        <v>85</v>
      </c>
      <c r="C161" s="149"/>
      <c r="D161" s="150"/>
      <c r="E161" s="151"/>
      <c r="F161" s="150"/>
      <c r="G161" s="152"/>
      <c r="H161" s="153"/>
      <c r="I161" s="154">
        <v>65700</v>
      </c>
      <c r="J161" s="155">
        <v>68950</v>
      </c>
      <c r="K161" s="156">
        <v>58286</v>
      </c>
    </row>
    <row r="162" spans="1:11" ht="16.5" customHeight="1">
      <c r="A162" s="273"/>
      <c r="B162" s="263" t="s">
        <v>100</v>
      </c>
      <c r="C162" s="33"/>
      <c r="D162" s="33"/>
      <c r="E162" s="36"/>
      <c r="F162" s="35"/>
      <c r="G162" s="37"/>
      <c r="H162" s="57"/>
      <c r="I162" s="41"/>
      <c r="J162" s="38"/>
      <c r="K162" s="39"/>
    </row>
    <row r="163" spans="1:11">
      <c r="A163" s="282"/>
      <c r="B163" s="283"/>
      <c r="C163" s="284"/>
      <c r="D163" s="285"/>
      <c r="E163" s="286"/>
      <c r="F163" s="287"/>
      <c r="G163" s="288"/>
      <c r="H163" s="289"/>
      <c r="I163" s="290"/>
      <c r="J163" s="291"/>
      <c r="K163" s="292"/>
    </row>
    <row r="164" spans="1:11">
      <c r="A164" s="273" t="s">
        <v>75</v>
      </c>
      <c r="B164" s="263" t="s">
        <v>224</v>
      </c>
      <c r="C164" s="34">
        <v>36650</v>
      </c>
      <c r="D164" s="33" t="s">
        <v>87</v>
      </c>
      <c r="E164" s="36">
        <v>0.75</v>
      </c>
      <c r="F164" s="35"/>
      <c r="G164" s="37">
        <f t="shared" ref="G164:G174" si="5">C164*E164</f>
        <v>27487.5</v>
      </c>
      <c r="H164" s="57"/>
      <c r="I164" s="523" t="s">
        <v>225</v>
      </c>
      <c r="J164" s="523" t="s">
        <v>225</v>
      </c>
      <c r="K164" s="523" t="s">
        <v>225</v>
      </c>
    </row>
    <row r="165" spans="1:11">
      <c r="A165" s="273" t="s">
        <v>75</v>
      </c>
      <c r="B165" s="263" t="s">
        <v>226</v>
      </c>
      <c r="C165" s="34">
        <v>34</v>
      </c>
      <c r="D165" s="33" t="s">
        <v>89</v>
      </c>
      <c r="E165" s="36">
        <v>80</v>
      </c>
      <c r="F165" s="35"/>
      <c r="G165" s="37">
        <f t="shared" si="5"/>
        <v>2720</v>
      </c>
      <c r="H165" s="57"/>
      <c r="I165" s="523" t="s">
        <v>225</v>
      </c>
      <c r="J165" s="523" t="s">
        <v>225</v>
      </c>
      <c r="K165" s="523" t="s">
        <v>225</v>
      </c>
    </row>
    <row r="166" spans="1:11">
      <c r="A166" s="273" t="s">
        <v>75</v>
      </c>
      <c r="B166" s="263" t="s">
        <v>227</v>
      </c>
      <c r="C166" s="34">
        <v>34</v>
      </c>
      <c r="D166" s="33" t="s">
        <v>89</v>
      </c>
      <c r="E166" s="36">
        <v>80</v>
      </c>
      <c r="F166" s="35"/>
      <c r="G166" s="37">
        <f t="shared" si="5"/>
        <v>2720</v>
      </c>
      <c r="H166" s="57"/>
      <c r="I166" s="523" t="s">
        <v>225</v>
      </c>
      <c r="J166" s="523" t="s">
        <v>225</v>
      </c>
      <c r="K166" s="523" t="s">
        <v>225</v>
      </c>
    </row>
    <row r="167" spans="1:11">
      <c r="A167" s="273" t="s">
        <v>75</v>
      </c>
      <c r="B167" s="263" t="s">
        <v>228</v>
      </c>
      <c r="C167" s="34">
        <v>3600</v>
      </c>
      <c r="D167" s="33" t="s">
        <v>112</v>
      </c>
      <c r="E167" s="36">
        <v>2.65</v>
      </c>
      <c r="F167" s="35"/>
      <c r="G167" s="37">
        <f t="shared" si="5"/>
        <v>9540</v>
      </c>
      <c r="H167" s="57"/>
      <c r="I167" s="523">
        <f>+G167</f>
        <v>9540</v>
      </c>
      <c r="J167" s="523">
        <f>+I167</f>
        <v>9540</v>
      </c>
      <c r="K167" s="523">
        <f>3600*2.75</f>
        <v>9900</v>
      </c>
    </row>
    <row r="168" spans="1:11">
      <c r="A168" s="273" t="s">
        <v>75</v>
      </c>
      <c r="B168" s="263" t="s">
        <v>229</v>
      </c>
      <c r="C168" s="34">
        <v>1</v>
      </c>
      <c r="D168" s="33" t="s">
        <v>92</v>
      </c>
      <c r="E168" s="36">
        <v>17000</v>
      </c>
      <c r="F168" s="35"/>
      <c r="G168" s="37">
        <f t="shared" si="5"/>
        <v>17000</v>
      </c>
      <c r="H168" s="57"/>
      <c r="I168" s="523" t="s">
        <v>225</v>
      </c>
      <c r="J168" s="523" t="s">
        <v>225</v>
      </c>
      <c r="K168" s="523" t="s">
        <v>225</v>
      </c>
    </row>
    <row r="169" spans="1:11">
      <c r="A169" s="273" t="s">
        <v>75</v>
      </c>
      <c r="B169" s="263" t="s">
        <v>230</v>
      </c>
      <c r="C169" s="34">
        <v>9</v>
      </c>
      <c r="D169" s="33" t="s">
        <v>89</v>
      </c>
      <c r="E169" s="36">
        <v>75</v>
      </c>
      <c r="F169" s="35"/>
      <c r="G169" s="37">
        <f t="shared" si="5"/>
        <v>675</v>
      </c>
      <c r="H169" s="57"/>
      <c r="I169" s="523" t="s">
        <v>225</v>
      </c>
      <c r="J169" s="523" t="s">
        <v>225</v>
      </c>
      <c r="K169" s="523" t="s">
        <v>225</v>
      </c>
    </row>
    <row r="170" spans="1:11">
      <c r="A170" s="273" t="s">
        <v>75</v>
      </c>
      <c r="B170" s="263" t="s">
        <v>231</v>
      </c>
      <c r="C170" s="34">
        <v>7</v>
      </c>
      <c r="D170" s="33" t="s">
        <v>89</v>
      </c>
      <c r="E170" s="36">
        <v>50</v>
      </c>
      <c r="F170" s="35"/>
      <c r="G170" s="37">
        <f t="shared" si="5"/>
        <v>350</v>
      </c>
      <c r="H170" s="57"/>
      <c r="I170" s="523" t="s">
        <v>225</v>
      </c>
      <c r="J170" s="523" t="s">
        <v>225</v>
      </c>
      <c r="K170" s="523" t="s">
        <v>225</v>
      </c>
    </row>
    <row r="171" spans="1:11" ht="15" customHeight="1">
      <c r="A171" s="273" t="s">
        <v>75</v>
      </c>
      <c r="B171" s="263" t="s">
        <v>232</v>
      </c>
      <c r="C171" s="34">
        <v>360</v>
      </c>
      <c r="D171" s="33" t="s">
        <v>112</v>
      </c>
      <c r="E171" s="36">
        <v>25</v>
      </c>
      <c r="F171" s="35"/>
      <c r="G171" s="37">
        <f t="shared" si="5"/>
        <v>9000</v>
      </c>
      <c r="H171" s="57"/>
      <c r="I171" s="523">
        <f>+G171</f>
        <v>9000</v>
      </c>
      <c r="J171" s="523">
        <f>SUM(360*24.5)</f>
        <v>8820</v>
      </c>
      <c r="K171" s="523">
        <f>360*20</f>
        <v>7200</v>
      </c>
    </row>
    <row r="172" spans="1:11" ht="14.1" customHeight="1">
      <c r="A172" s="273" t="s">
        <v>75</v>
      </c>
      <c r="B172" s="263" t="s">
        <v>233</v>
      </c>
      <c r="C172" s="34">
        <v>2250</v>
      </c>
      <c r="D172" s="33" t="s">
        <v>112</v>
      </c>
      <c r="E172" s="36">
        <v>12</v>
      </c>
      <c r="F172" s="35"/>
      <c r="G172" s="37">
        <f t="shared" si="5"/>
        <v>27000</v>
      </c>
      <c r="H172" s="57"/>
      <c r="I172" s="523">
        <f>+G172</f>
        <v>27000</v>
      </c>
      <c r="J172" s="523">
        <f>+I172</f>
        <v>27000</v>
      </c>
      <c r="K172" s="523">
        <f>+J172</f>
        <v>27000</v>
      </c>
    </row>
    <row r="173" spans="1:11">
      <c r="A173" s="273" t="s">
        <v>75</v>
      </c>
      <c r="B173" s="263" t="s">
        <v>234</v>
      </c>
      <c r="C173" s="34">
        <v>1</v>
      </c>
      <c r="D173" s="33" t="s">
        <v>92</v>
      </c>
      <c r="E173" s="36">
        <v>7500</v>
      </c>
      <c r="F173" s="35"/>
      <c r="G173" s="37">
        <f t="shared" si="5"/>
        <v>7500</v>
      </c>
      <c r="H173" s="57"/>
      <c r="I173" s="523">
        <v>5000</v>
      </c>
      <c r="J173" s="523">
        <v>4500</v>
      </c>
      <c r="K173" s="523">
        <f>+J173</f>
        <v>4500</v>
      </c>
    </row>
    <row r="174" spans="1:11">
      <c r="A174" s="273" t="s">
        <v>75</v>
      </c>
      <c r="B174" s="263" t="s">
        <v>235</v>
      </c>
      <c r="C174" s="34">
        <v>1</v>
      </c>
      <c r="D174" s="33" t="s">
        <v>92</v>
      </c>
      <c r="E174" s="36">
        <v>15000</v>
      </c>
      <c r="F174" s="35"/>
      <c r="G174" s="37">
        <f t="shared" si="5"/>
        <v>15000</v>
      </c>
      <c r="H174" s="57"/>
      <c r="I174" s="523" t="s">
        <v>225</v>
      </c>
      <c r="J174" s="523" t="s">
        <v>225</v>
      </c>
      <c r="K174" s="523" t="s">
        <v>225</v>
      </c>
    </row>
    <row r="175" spans="1:11" ht="15.75">
      <c r="A175" s="305"/>
      <c r="B175" s="33" t="s">
        <v>180</v>
      </c>
      <c r="C175" s="34">
        <v>1</v>
      </c>
      <c r="D175" s="35" t="s">
        <v>92</v>
      </c>
      <c r="E175" s="36">
        <v>10000</v>
      </c>
      <c r="F175" s="35"/>
      <c r="G175" s="37">
        <f>E175*C175</f>
        <v>10000</v>
      </c>
      <c r="H175" s="57"/>
      <c r="I175" s="525">
        <v>7500</v>
      </c>
      <c r="J175" s="525">
        <v>8500</v>
      </c>
      <c r="K175" s="525">
        <v>8000</v>
      </c>
    </row>
    <row r="176" spans="1:11" ht="15.75">
      <c r="A176" s="305"/>
      <c r="B176" s="263"/>
      <c r="C176" s="34"/>
      <c r="D176" s="35"/>
      <c r="E176" s="36"/>
      <c r="F176" s="318"/>
      <c r="G176" s="37"/>
      <c r="H176" s="57"/>
      <c r="I176" s="39"/>
      <c r="J176" s="39"/>
      <c r="K176" s="40"/>
    </row>
    <row r="177" spans="1:11" ht="16.5" thickBot="1">
      <c r="A177" s="276" t="str">
        <f>A159</f>
        <v>9C</v>
      </c>
      <c r="B177" s="277" t="str">
        <f>B159</f>
        <v>INTERIOR PAINT</v>
      </c>
      <c r="C177" s="246"/>
      <c r="D177" s="247"/>
      <c r="E177" s="248"/>
      <c r="F177" s="310"/>
      <c r="G177" s="249">
        <f>SUM(G159:G176)</f>
        <v>128992.5</v>
      </c>
      <c r="H177" s="58"/>
      <c r="I177" s="250">
        <f>SUM(I160:I176)</f>
        <v>123740</v>
      </c>
      <c r="J177" s="250">
        <f>SUM(J160:J176)</f>
        <v>127310</v>
      </c>
      <c r="K177" s="250">
        <f>SUM(K160:K176)</f>
        <v>114886</v>
      </c>
    </row>
    <row r="178" spans="1:11" s="4" customFormat="1" ht="15.75" thickBot="1">
      <c r="A178" s="273"/>
      <c r="B178" s="264"/>
      <c r="C178" s="1"/>
      <c r="D178" s="61"/>
      <c r="E178" s="62"/>
      <c r="F178" s="2"/>
      <c r="G178" s="3"/>
      <c r="H178" s="59"/>
      <c r="I178" s="3"/>
      <c r="J178" s="148"/>
      <c r="K178" s="3"/>
    </row>
    <row r="179" spans="1:11" ht="16.5" thickBot="1">
      <c r="A179" s="279"/>
      <c r="B179" s="265"/>
      <c r="C179" s="251"/>
      <c r="D179" s="252"/>
      <c r="E179" s="253"/>
      <c r="F179" s="254"/>
      <c r="G179" s="255"/>
      <c r="H179" s="60"/>
      <c r="I179" s="255"/>
      <c r="J179" s="255"/>
      <c r="K179" s="529"/>
    </row>
    <row r="180" spans="1:11" s="316" customFormat="1" ht="15.75">
      <c r="A180" s="313"/>
      <c r="B180" s="261"/>
      <c r="C180" s="21"/>
      <c r="D180" s="24"/>
      <c r="E180" s="314"/>
      <c r="F180" s="22"/>
      <c r="G180" s="25"/>
      <c r="H180" s="315"/>
      <c r="I180" s="25"/>
      <c r="J180" s="25"/>
      <c r="K180" s="25"/>
    </row>
    <row r="181" spans="1:11" ht="15.75" thickBot="1"/>
    <row r="182" spans="1:11" ht="47.25">
      <c r="A182" s="512" t="s">
        <v>793</v>
      </c>
      <c r="B182" s="513" t="s">
        <v>240</v>
      </c>
      <c r="C182" s="514"/>
      <c r="D182" s="515"/>
      <c r="E182" s="522"/>
      <c r="F182" s="515"/>
      <c r="G182" s="517" t="s">
        <v>802</v>
      </c>
      <c r="H182" s="518"/>
      <c r="I182" s="519" t="s">
        <v>241</v>
      </c>
      <c r="J182" s="519" t="s">
        <v>242</v>
      </c>
      <c r="K182" s="519" t="s">
        <v>243</v>
      </c>
    </row>
    <row r="183" spans="1:11">
      <c r="A183" s="273" t="s">
        <v>75</v>
      </c>
      <c r="B183" s="263"/>
      <c r="C183" s="34"/>
      <c r="D183" s="35"/>
      <c r="E183" s="36"/>
      <c r="F183" s="35"/>
      <c r="G183" s="37"/>
      <c r="H183" s="57"/>
      <c r="I183" s="43"/>
      <c r="J183" s="43"/>
      <c r="K183" s="43"/>
    </row>
    <row r="184" spans="1:11" ht="15.75">
      <c r="A184" s="274"/>
      <c r="B184" s="275" t="s">
        <v>85</v>
      </c>
      <c r="C184" s="149"/>
      <c r="D184" s="150"/>
      <c r="E184" s="151"/>
      <c r="F184" s="150"/>
      <c r="G184" s="152"/>
      <c r="H184" s="153"/>
      <c r="I184" s="154">
        <v>57000</v>
      </c>
      <c r="J184" s="154">
        <v>48000</v>
      </c>
      <c r="K184" s="154">
        <v>55000</v>
      </c>
    </row>
    <row r="185" spans="1:11">
      <c r="A185" s="273"/>
      <c r="B185" s="263" t="s">
        <v>100</v>
      </c>
      <c r="C185" s="33"/>
      <c r="D185" s="33"/>
      <c r="E185" s="36"/>
      <c r="F185" s="35"/>
      <c r="G185" s="37"/>
      <c r="H185" s="57"/>
      <c r="I185" s="41"/>
      <c r="J185" s="41"/>
      <c r="K185" s="41"/>
    </row>
    <row r="186" spans="1:11">
      <c r="A186" s="282"/>
      <c r="B186" s="283"/>
      <c r="C186" s="284"/>
      <c r="D186" s="285"/>
      <c r="E186" s="286"/>
      <c r="F186" s="287"/>
      <c r="G186" s="288"/>
      <c r="H186" s="289"/>
      <c r="I186" s="290"/>
      <c r="J186" s="290"/>
      <c r="K186" s="290"/>
    </row>
    <row r="187" spans="1:11">
      <c r="A187" s="273" t="s">
        <v>75</v>
      </c>
      <c r="B187" s="263"/>
      <c r="C187" s="34"/>
      <c r="D187" s="35"/>
      <c r="E187" s="36"/>
      <c r="F187" s="35"/>
      <c r="G187" s="37"/>
      <c r="H187" s="57"/>
      <c r="I187" s="523"/>
      <c r="J187" s="523"/>
      <c r="K187" s="523"/>
    </row>
    <row r="188" spans="1:11">
      <c r="A188" s="273" t="s">
        <v>75</v>
      </c>
      <c r="B188" s="263"/>
      <c r="C188" s="34"/>
      <c r="D188" s="35"/>
      <c r="E188" s="36"/>
      <c r="F188" s="35"/>
      <c r="G188" s="37"/>
      <c r="H188" s="57"/>
      <c r="I188" s="523"/>
      <c r="J188" s="523"/>
      <c r="K188" s="523"/>
    </row>
    <row r="189" spans="1:11" ht="16.5" thickBot="1">
      <c r="A189" s="305"/>
      <c r="B189" s="263"/>
      <c r="C189" s="34"/>
      <c r="D189" s="35"/>
      <c r="E189" s="36"/>
      <c r="F189" s="318"/>
      <c r="G189" s="37"/>
      <c r="H189" s="57"/>
      <c r="I189" s="39"/>
      <c r="J189" s="40"/>
      <c r="K189" s="40"/>
    </row>
    <row r="190" spans="1:11" ht="16.5" thickBot="1">
      <c r="A190" s="276" t="str">
        <f>A182</f>
        <v>26A</v>
      </c>
      <c r="B190" s="277" t="str">
        <f>B182</f>
        <v>PV INVERTER</v>
      </c>
      <c r="C190" s="246"/>
      <c r="D190" s="247"/>
      <c r="E190" s="248"/>
      <c r="F190" s="310"/>
      <c r="G190" s="249">
        <v>60000</v>
      </c>
      <c r="H190" s="58"/>
      <c r="I190" s="250">
        <f>SUM(I183:I189)</f>
        <v>57000</v>
      </c>
      <c r="J190" s="250">
        <f>SUM(J183:J189)</f>
        <v>48000</v>
      </c>
      <c r="K190" s="250">
        <f>SUM(K183:K189)</f>
        <v>55000</v>
      </c>
    </row>
    <row r="191" spans="1:11" ht="15.75" thickBot="1"/>
    <row r="192" spans="1:11" ht="63">
      <c r="A192" s="512" t="s">
        <v>794</v>
      </c>
      <c r="B192" s="513" t="s">
        <v>244</v>
      </c>
      <c r="C192" s="514"/>
      <c r="D192" s="515"/>
      <c r="E192" s="522"/>
      <c r="F192" s="515"/>
      <c r="G192" s="517" t="s">
        <v>802</v>
      </c>
      <c r="H192" s="518"/>
      <c r="I192" s="519" t="s">
        <v>245</v>
      </c>
      <c r="J192" s="519" t="s">
        <v>246</v>
      </c>
      <c r="K192" s="519"/>
    </row>
    <row r="193" spans="1:11">
      <c r="A193" s="273" t="s">
        <v>75</v>
      </c>
      <c r="B193" s="263"/>
      <c r="C193" s="34"/>
      <c r="D193" s="35"/>
      <c r="E193" s="36"/>
      <c r="F193" s="35"/>
      <c r="G193" s="37"/>
      <c r="H193" s="57"/>
      <c r="I193" s="43"/>
      <c r="J193" s="43"/>
      <c r="K193" s="43"/>
    </row>
    <row r="194" spans="1:11" ht="15.75">
      <c r="A194" s="274"/>
      <c r="B194" s="275" t="s">
        <v>85</v>
      </c>
      <c r="C194" s="149"/>
      <c r="D194" s="150"/>
      <c r="E194" s="151"/>
      <c r="F194" s="150"/>
      <c r="G194" s="152"/>
      <c r="H194" s="153"/>
      <c r="I194" s="154">
        <v>135000</v>
      </c>
      <c r="J194" s="154">
        <v>125500</v>
      </c>
      <c r="K194" s="154"/>
    </row>
    <row r="195" spans="1:11">
      <c r="A195" s="273"/>
      <c r="B195" s="263" t="s">
        <v>100</v>
      </c>
      <c r="C195" s="33"/>
      <c r="D195" s="33"/>
      <c r="E195" s="36"/>
      <c r="F195" s="35"/>
      <c r="G195" s="37"/>
      <c r="H195" s="57"/>
      <c r="I195" s="41"/>
      <c r="J195" s="41"/>
      <c r="K195" s="41"/>
    </row>
    <row r="196" spans="1:11">
      <c r="A196" s="282"/>
      <c r="B196" s="283"/>
      <c r="C196" s="284"/>
      <c r="D196" s="285"/>
      <c r="E196" s="286"/>
      <c r="F196" s="287"/>
      <c r="G196" s="288"/>
      <c r="H196" s="289"/>
      <c r="I196" s="290"/>
      <c r="J196" s="290"/>
      <c r="K196" s="290"/>
    </row>
    <row r="197" spans="1:11">
      <c r="A197" s="273" t="s">
        <v>75</v>
      </c>
      <c r="B197" s="263"/>
      <c r="C197" s="34"/>
      <c r="D197" s="35"/>
      <c r="E197" s="36"/>
      <c r="F197" s="35"/>
      <c r="G197" s="37"/>
      <c r="H197" s="57"/>
      <c r="I197" s="523"/>
      <c r="J197" s="523"/>
      <c r="K197" s="523"/>
    </row>
    <row r="198" spans="1:11">
      <c r="A198" s="273" t="s">
        <v>75</v>
      </c>
      <c r="B198" s="263"/>
      <c r="C198" s="34"/>
      <c r="D198" s="35"/>
      <c r="E198" s="36"/>
      <c r="F198" s="35"/>
      <c r="G198" s="37"/>
      <c r="H198" s="57"/>
      <c r="I198" s="523"/>
      <c r="J198" s="523"/>
      <c r="K198" s="523"/>
    </row>
    <row r="199" spans="1:11" ht="16.5" thickBot="1">
      <c r="A199" s="305"/>
      <c r="B199" s="263"/>
      <c r="C199" s="34"/>
      <c r="D199" s="35"/>
      <c r="E199" s="36"/>
      <c r="F199" s="318"/>
      <c r="G199" s="37"/>
      <c r="H199" s="57"/>
      <c r="I199" s="39"/>
      <c r="J199" s="40"/>
      <c r="K199" s="40"/>
    </row>
    <row r="200" spans="1:11" ht="16.5" thickBot="1">
      <c r="A200" s="276" t="str">
        <f>A192</f>
        <v>26B</v>
      </c>
      <c r="B200" s="277" t="str">
        <f>B192</f>
        <v>PV BATTERY</v>
      </c>
      <c r="C200" s="246"/>
      <c r="D200" s="247"/>
      <c r="E200" s="248"/>
      <c r="F200" s="310"/>
      <c r="G200" s="249">
        <v>150000</v>
      </c>
      <c r="H200" s="58"/>
      <c r="I200" s="250">
        <f>SUM(I193:I199)</f>
        <v>135000</v>
      </c>
      <c r="J200" s="250">
        <f>SUM(J193:J199)</f>
        <v>125500</v>
      </c>
      <c r="K200" s="250">
        <f>SUM(K193:K199)</f>
        <v>0</v>
      </c>
    </row>
  </sheetData>
  <customSheetViews>
    <customSheetView guid="{44AE2428-6D29-41CE-8BE6-3A12B4ABC13E}" scale="70" fitToPage="1" hiddenColumns="1" showRuler="0">
      <pane xSplit="11" ySplit="2" topLeftCell="N24" activePane="bottomRight" state="frozen"/>
      <selection pane="bottomRight" activeCell="F11" sqref="F11"/>
      <rowBreaks count="71" manualBreakCount="71">
        <brk id="63" min="4" max="22" man="1"/>
        <brk id="127" max="16383" man="1"/>
        <brk id="189" max="16383" man="1"/>
        <brk id="244" min="4" max="22" man="1"/>
        <brk id="281" max="16383" man="1"/>
        <brk id="311" max="16383" man="1"/>
        <brk id="359" min="4" max="22" man="1"/>
        <brk id="414" min="4" max="22" man="1"/>
        <brk id="440" min="4" max="22" man="1"/>
        <brk id="493" min="4" max="22" man="1"/>
        <brk id="529" min="4" max="22" man="1"/>
        <brk id="543" min="4" max="22" man="1"/>
        <brk id="580" min="4" max="22" man="1"/>
        <brk id="600" min="4" max="22" man="1"/>
        <brk id="652" min="4" max="22" man="1"/>
        <brk id="688" min="4" max="22" man="1"/>
        <brk id="714" min="4" max="22" man="1"/>
        <brk id="767" min="4" max="22" man="1"/>
        <brk id="782" min="4" max="22" man="1"/>
        <brk id="811" min="4" max="22" man="1"/>
        <brk id="842" min="4" max="22" man="1"/>
        <brk id="887" min="4" max="22" man="1"/>
        <brk id="946" min="4" max="22" man="1"/>
        <brk id="998" min="4" max="22" man="1"/>
        <brk id="1036" min="4" max="22" man="1"/>
        <brk id="1057" min="4" max="22" man="1"/>
        <brk id="1108" min="4" max="22" man="1"/>
        <brk id="1140" min="4" max="22" man="1"/>
        <brk id="1174" min="4" max="22" man="1"/>
        <brk id="1216" min="4" max="22" man="1"/>
        <brk id="1255" min="4" max="22" man="1"/>
        <brk id="1290" min="4" max="22" man="1"/>
        <brk id="1317" min="4" max="22" man="1"/>
        <brk id="1355" min="4" max="22" man="1"/>
        <brk id="1385" min="4" max="22" man="1"/>
        <brk id="1411" min="4" max="22" man="1"/>
        <brk id="1452" min="4" max="22" man="1"/>
        <brk id="1498" min="4" max="22" man="1"/>
        <brk id="1542" min="4" max="22" man="1"/>
        <brk id="1570" min="4" max="22" man="1"/>
        <brk id="1610" min="4" max="22" man="1"/>
        <brk id="1634" min="4" max="22" man="1"/>
        <brk id="1667" min="4" max="22" man="1"/>
        <brk id="1706" min="4" max="22" man="1"/>
        <brk id="1732" min="4" max="22" man="1"/>
        <brk id="1758" min="4" max="22" man="1"/>
        <brk id="1790" min="4" max="22" man="1"/>
        <brk id="1814" min="4" max="22" man="1"/>
        <brk id="1854" min="4" max="22" man="1"/>
        <brk id="1888" min="4" max="22" man="1"/>
        <brk id="1922" min="4" max="22" man="1"/>
        <brk id="1943" min="4" max="22" man="1"/>
        <brk id="1980" min="4" max="22" man="1"/>
        <brk id="2034" min="4" max="22" man="1"/>
        <brk id="2078" min="4" max="22" man="1"/>
        <brk id="2104" min="4" max="22" man="1"/>
        <brk id="2143" min="4" max="22" man="1"/>
        <brk id="2171" min="4" max="22" man="1"/>
        <brk id="2226" min="4" max="22" man="1"/>
        <brk id="2273" min="4" max="22" man="1"/>
        <brk id="2321" min="4" max="22" man="1"/>
        <brk id="2387" min="4" max="22" man="1"/>
        <brk id="2411" min="4" max="22" man="1"/>
        <brk id="2465" min="4" max="22" man="1"/>
        <brk id="2501" min="4" max="22" man="1"/>
        <brk id="2518" min="4" max="22" man="1"/>
        <brk id="2549" min="4" max="22" man="1"/>
        <brk id="2582" min="4" max="22" man="1"/>
        <brk id="2639" min="4" max="22" man="1"/>
        <brk id="2689" min="4" max="22" man="1"/>
        <brk id="2725" min="4" max="22" man="1"/>
      </rowBreaks>
      <pageMargins left="0" right="0" top="0" bottom="0" header="0" footer="0"/>
      <printOptions horizontalCentered="1"/>
      <pageSetup scale="29" fitToHeight="0" orientation="portrait" r:id="rId1"/>
      <headerFooter alignWithMargins="0"/>
    </customSheetView>
    <customSheetView guid="{C99F132B-0D33-4B4E-8A4C-0DE2B6C7BABE}" scale="70" showPageBreaks="1" fitToPage="1" hiddenColumns="1" showRuler="0">
      <pane xSplit="12" ySplit="2" topLeftCell="N15" activePane="bottomRight" state="frozen"/>
      <selection pane="bottomRight" activeCell="K27" sqref="K27"/>
      <rowBreaks count="71" manualBreakCount="71">
        <brk id="63" min="4" max="22" man="1"/>
        <brk id="127" max="16383" man="1"/>
        <brk id="189" max="16383" man="1"/>
        <brk id="244" min="4" max="22" man="1"/>
        <brk id="281" max="16383" man="1"/>
        <brk id="311" max="16383" man="1"/>
        <brk id="359" min="4" max="22" man="1"/>
        <brk id="414" min="4" max="22" man="1"/>
        <brk id="440" min="4" max="22" man="1"/>
        <brk id="493" min="4" max="22" man="1"/>
        <brk id="529" min="4" max="22" man="1"/>
        <brk id="543" min="4" max="22" man="1"/>
        <brk id="580" min="4" max="22" man="1"/>
        <brk id="600" min="4" max="22" man="1"/>
        <brk id="652" min="4" max="22" man="1"/>
        <brk id="688" min="4" max="22" man="1"/>
        <brk id="714" min="4" max="22" man="1"/>
        <brk id="767" min="4" max="22" man="1"/>
        <brk id="782" min="4" max="22" man="1"/>
        <brk id="811" min="4" max="22" man="1"/>
        <brk id="842" min="4" max="22" man="1"/>
        <brk id="887" min="4" max="22" man="1"/>
        <brk id="946" min="4" max="22" man="1"/>
        <brk id="998" min="4" max="22" man="1"/>
        <brk id="1036" min="4" max="22" man="1"/>
        <brk id="1057" min="4" max="22" man="1"/>
        <brk id="1108" min="4" max="22" man="1"/>
        <brk id="1140" min="4" max="22" man="1"/>
        <brk id="1174" min="4" max="22" man="1"/>
        <brk id="1216" min="4" max="22" man="1"/>
        <brk id="1255" min="4" max="22" man="1"/>
        <brk id="1290" min="4" max="22" man="1"/>
        <brk id="1317" min="4" max="22" man="1"/>
        <brk id="1355" min="4" max="22" man="1"/>
        <brk id="1385" min="4" max="22" man="1"/>
        <brk id="1411" min="4" max="22" man="1"/>
        <brk id="1452" min="4" max="22" man="1"/>
        <brk id="1498" min="4" max="22" man="1"/>
        <brk id="1542" min="4" max="22" man="1"/>
        <brk id="1570" min="4" max="22" man="1"/>
        <brk id="1610" min="4" max="22" man="1"/>
        <brk id="1634" min="4" max="22" man="1"/>
        <brk id="1667" min="4" max="22" man="1"/>
        <brk id="1706" min="4" max="22" man="1"/>
        <brk id="1732" min="4" max="22" man="1"/>
        <brk id="1758" min="4" max="22" man="1"/>
        <brk id="1790" min="4" max="22" man="1"/>
        <brk id="1814" min="4" max="22" man="1"/>
        <brk id="1854" min="4" max="22" man="1"/>
        <brk id="1888" min="4" max="22" man="1"/>
        <brk id="1922" min="4" max="22" man="1"/>
        <brk id="1943" min="4" max="22" man="1"/>
        <brk id="1980" min="4" max="22" man="1"/>
        <brk id="2034" min="4" max="22" man="1"/>
        <brk id="2078" min="4" max="22" man="1"/>
        <brk id="2104" min="4" max="22" man="1"/>
        <brk id="2143" min="4" max="22" man="1"/>
        <brk id="2171" min="4" max="22" man="1"/>
        <brk id="2226" min="4" max="22" man="1"/>
        <brk id="2273" min="4" max="22" man="1"/>
        <brk id="2321" min="4" max="22" man="1"/>
        <brk id="2387" min="4" max="22" man="1"/>
        <brk id="2411" min="4" max="22" man="1"/>
        <brk id="2465" min="4" max="22" man="1"/>
        <brk id="2501" min="4" max="22" man="1"/>
        <brk id="2518" min="4" max="22" man="1"/>
        <brk id="2549" min="4" max="22" man="1"/>
        <brk id="2582" min="4" max="22" man="1"/>
        <brk id="2639" min="4" max="22" man="1"/>
        <brk id="2689" min="4" max="22" man="1"/>
        <brk id="2725" min="4" max="22" man="1"/>
      </rowBreaks>
      <pageMargins left="0" right="0" top="0" bottom="0" header="0" footer="0"/>
      <printOptions horizontalCentered="1"/>
      <pageSetup scale="29" fitToHeight="0" orientation="portrait" r:id="rId2"/>
      <headerFooter alignWithMargins="0"/>
    </customSheetView>
    <customSheetView guid="{250C47CD-C951-45B0-85B8-EF6851D1622A}" scale="70" showPageBreaks="1" fitToPage="1" showRuler="0">
      <pane xSplit="12" ySplit="2" topLeftCell="N586" activePane="bottomRight" state="frozen"/>
      <selection pane="bottomRight" activeCell="P553" sqref="P553:P601"/>
      <rowBreaks count="72" manualBreakCount="72">
        <brk id="63" min="4" max="22" man="1"/>
        <brk id="127" max="16383" man="1"/>
        <brk id="158" min="4" max="22" man="1"/>
        <brk id="186" max="16383" man="1"/>
        <brk id="241" min="4" max="22" man="1"/>
        <brk id="264" max="16383" man="1"/>
        <brk id="294" max="16383" man="1"/>
        <brk id="341" min="4" max="22" man="1"/>
        <brk id="395" min="4" max="22" man="1"/>
        <brk id="421" min="4" max="22" man="1"/>
        <brk id="473" min="4" max="22" man="1"/>
        <brk id="511" min="4" max="22" man="1"/>
        <brk id="525" min="4" max="22" man="1"/>
        <brk id="564" min="4" max="22" man="1"/>
        <brk id="584" min="4" max="22" man="1"/>
        <brk id="640" min="4" max="22" man="1"/>
        <brk id="676" min="4" max="22" man="1"/>
        <brk id="702" min="4" max="22" man="1"/>
        <brk id="755" min="4" max="22" man="1"/>
        <brk id="768" min="4" max="22" man="1"/>
        <brk id="797" min="4" max="22" man="1"/>
        <brk id="828" min="4" max="22" man="1"/>
        <brk id="873" min="4" max="22" man="1"/>
        <brk id="923" min="4" max="22" man="1"/>
        <brk id="974" min="4" max="22" man="1"/>
        <brk id="1012" min="4" max="22" man="1"/>
        <brk id="1033" min="4" max="22" man="1"/>
        <brk id="1084" min="4" max="22" man="1"/>
        <brk id="1114" min="4" max="22" man="1"/>
        <brk id="1148" min="4" max="22" man="1"/>
        <brk id="1190" min="4" max="22" man="1"/>
        <brk id="1229" min="4" max="22" man="1"/>
        <brk id="1266" min="4" max="22" man="1"/>
        <brk id="1293" min="4" max="22" man="1"/>
        <brk id="1331" min="4" max="22" man="1"/>
        <brk id="1359" min="4" max="22" man="1"/>
        <brk id="1385" min="4" max="22" man="1"/>
        <brk id="1426" min="4" max="22" man="1"/>
        <brk id="1471" min="4" max="22" man="1"/>
        <brk id="1515" min="4" max="22" man="1"/>
        <brk id="1543" min="4" max="22" man="1"/>
        <brk id="1582" min="4" max="22" man="1"/>
        <brk id="1606" min="4" max="22" man="1"/>
        <brk id="1639" min="4" max="22" man="1"/>
        <brk id="1678" min="4" max="22" man="1"/>
        <brk id="1704" min="4" max="22" man="1"/>
        <brk id="1730" min="4" max="22" man="1"/>
        <brk id="1762" min="4" max="22" man="1"/>
        <brk id="1786" min="4" max="22" man="1"/>
        <brk id="1825" min="4" max="22" man="1"/>
        <brk id="1859" min="4" max="22" man="1"/>
        <brk id="1893" min="4" max="22" man="1"/>
        <brk id="1914" min="4" max="22" man="1"/>
        <brk id="1951" min="4" max="22" man="1"/>
        <brk id="2005" min="4" max="22" man="1"/>
        <brk id="2049" min="4" max="22" man="1"/>
        <brk id="2075" min="4" max="22" man="1"/>
        <brk id="2114" min="4" max="22" man="1"/>
        <brk id="2142" min="4" max="22" man="1"/>
        <brk id="2197" min="4" max="22" man="1"/>
        <brk id="2244" min="4" max="22" man="1"/>
        <brk id="2292" min="4" max="22" man="1"/>
        <brk id="2358" min="4" max="22" man="1"/>
        <brk id="2382" min="4" max="22" man="1"/>
        <brk id="2436" min="4" max="22" man="1"/>
        <brk id="2471" min="4" max="22" man="1"/>
        <brk id="2500" min="4" max="22" man="1"/>
        <brk id="2532" min="4" max="22" man="1"/>
        <brk id="2565" min="4" max="22" man="1"/>
        <brk id="2622" min="4" max="22" man="1"/>
        <brk id="2658" min="4" max="22" man="1"/>
        <brk id="2694" min="4" max="22" man="1"/>
      </rowBreaks>
      <pageMargins left="0" right="0" top="0" bottom="0" header="0" footer="0"/>
      <printOptions horizontalCentered="1"/>
      <pageSetup scale="26" fitToHeight="0" orientation="portrait" r:id="rId3"/>
      <headerFooter alignWithMargins="0"/>
    </customSheetView>
    <customSheetView guid="{37B2A369-D50B-41EB-B5C9-913B0CCD511F}" scale="85" showPageBreaks="1" showRuler="0">
      <pane xSplit="10" ySplit="4" topLeftCell="Q5" activePane="bottomRight" state="frozen"/>
      <selection pane="bottomRight" activeCell="U11" sqref="U11"/>
      <pageMargins left="0" right="0" top="0" bottom="0" header="0" footer="0"/>
      <pageSetup orientation="portrait" r:id="rId4"/>
      <headerFooter alignWithMargins="0"/>
    </customSheetView>
    <customSheetView guid="{1800E068-3140-4783-BA64-4EF7E42EC8AB}" showPageBreaks="1" showRuler="0" topLeftCell="C1">
      <pane ySplit="2" topLeftCell="A132" activePane="bottomLeft" state="frozen"/>
      <selection pane="bottomLeft" activeCell="O380" sqref="O380"/>
      <pageMargins left="0" right="0" top="0" bottom="0" header="0" footer="0"/>
      <pageSetup orientation="portrait" r:id="rId5"/>
      <headerFooter alignWithMargins="0"/>
    </customSheetView>
    <customSheetView guid="{52DABE16-4240-4E8C-9CA5-9C640A97FB75}" scale="50" showPageBreaks="1" fitToPage="1" printArea="1" view="pageBreakPreview" showRuler="0">
      <pane xSplit="9" ySplit="2" topLeftCell="J3" activePane="bottomRight" state="frozen"/>
      <selection pane="bottomRight" activeCell="F130" sqref="F130"/>
      <rowBreaks count="8" manualBreakCount="8">
        <brk id="47" min="1" max="15" man="1"/>
        <brk id="90" min="1" max="15" man="1"/>
        <brk id="139" min="1" max="15" man="1"/>
        <brk id="182" min="1" max="15" man="1"/>
        <brk id="221" min="1" max="15" man="1"/>
        <brk id="255" min="1" max="15" man="1"/>
        <brk id="302" min="1" max="15" man="1"/>
        <brk id="337" min="1" max="15" man="1"/>
      </rowBreaks>
      <pageMargins left="0" right="0" top="0" bottom="0" header="0" footer="0"/>
      <pageSetup scale="61" fitToHeight="0" orientation="landscape" r:id="rId6"/>
      <headerFooter alignWithMargins="0">
        <oddFooter>Page &amp;P of &amp;N</oddFooter>
      </headerFooter>
    </customSheetView>
    <customSheetView guid="{F9B0E021-530B-4D97-A767-F06D45031BB4}" scale="55" showPageBreaks="1" fitToPage="1" printArea="1" view="pageBreakPreview">
      <pane xSplit="9" ySplit="2" topLeftCell="J1733" activePane="bottomRight" state="frozen"/>
      <selection pane="bottomRight" activeCell="D1787" sqref="D1787"/>
      <rowBreaks count="35" manualBreakCount="35">
        <brk id="84" min="1" max="21" man="1"/>
        <brk id="119" min="1" max="21" man="1"/>
        <brk id="156" min="1" max="19" man="1"/>
        <brk id="184" min="1" max="19" man="1"/>
        <brk id="217" min="1" max="19" man="1"/>
        <brk id="258" min="1" max="21" man="1"/>
        <brk id="285" min="1" max="21" man="1"/>
        <brk id="319" max="16383" man="1"/>
        <brk id="383" min="1" max="21" man="1"/>
        <brk id="411" min="1" max="21" man="1"/>
        <brk id="438" min="1" max="21" man="1"/>
        <brk id="463" min="1" max="21" man="1"/>
        <brk id="486" max="16383" man="1"/>
        <brk id="489" min="1" max="19" man="1"/>
        <brk id="549" min="1" max="19" man="1"/>
        <brk id="572" min="1" max="19" man="1"/>
        <brk id="614" min="1" max="19" man="1"/>
        <brk id="640" min="1" max="19" man="1"/>
        <brk id="665" min="1" max="19" man="1"/>
        <brk id="691" min="1" max="19" man="1"/>
        <brk id="720" min="1" max="19" man="1"/>
        <brk id="768" min="1" max="19" man="1"/>
        <brk id="795" min="1" max="19" man="1"/>
        <brk id="819" min="1" max="19" man="1"/>
        <brk id="852" min="1" max="19" man="1"/>
        <brk id="880" min="1" max="19" man="1"/>
        <brk id="915" min="1" max="19" man="1"/>
        <brk id="938" min="1" max="19" man="1"/>
        <brk id="1091" min="1" max="19" man="1"/>
        <brk id="1244" min="1" max="19" man="1"/>
        <brk id="1292" min="1" max="19" man="1"/>
        <brk id="1438" min="1" max="19" man="1"/>
        <brk id="1597" min="1" max="19" man="1"/>
        <brk id="1753" min="1" max="19" man="1"/>
        <brk id="1799" min="1" max="19" man="1"/>
      </rowBreaks>
      <pageMargins left="0" right="0" top="0" bottom="0" header="0" footer="0"/>
      <printOptions horizontalCentered="1"/>
      <pageSetup scale="30" fitToHeight="0" orientation="portrait" r:id="rId7"/>
      <headerFooter alignWithMargins="0"/>
    </customSheetView>
    <customSheetView guid="{F1A6D050-DA21-4A77-B24F-7B069B700D3A}" scale="65" showPageBreaks="1" fitToPage="1">
      <pane xSplit="9" ySplit="2" topLeftCell="J1934" activePane="bottomRight" state="frozen"/>
      <selection pane="bottomRight" activeCell="M1959" sqref="M1959"/>
      <rowBreaks count="36" manualBreakCount="36">
        <brk id="84" min="1" max="21" man="1"/>
        <brk id="119" min="1" max="21" man="1"/>
        <brk id="146" min="1" max="21" man="1"/>
        <brk id="178" min="1" max="21" man="1"/>
        <brk id="210" max="16383" man="1"/>
        <brk id="240" min="1" max="21" man="1"/>
        <brk id="267" min="1" max="21" man="1"/>
        <brk id="301" max="16383" man="1"/>
        <brk id="364" min="1" max="21" man="1"/>
        <brk id="386" min="1" max="21" man="1"/>
        <brk id="409" min="1" max="21" man="1"/>
        <brk id="432" min="1" max="21" man="1"/>
        <brk id="455" max="16383" man="1"/>
        <brk id="478" max="16383" man="1"/>
        <brk id="501" max="16383" man="1"/>
        <brk id="523" max="16383" man="1"/>
        <brk id="545" max="16383" man="1"/>
        <brk id="570" max="16383" man="1"/>
        <brk id="592" min="1" max="21" man="1"/>
        <brk id="616" max="16383" man="1"/>
        <brk id="662" max="16383" man="1"/>
        <brk id="713" max="16383" man="1"/>
        <brk id="744" max="16383" man="1"/>
        <brk id="803" max="16383" man="1"/>
        <brk id="848" max="16383" man="1"/>
        <brk id="871" min="1" max="21" man="1"/>
        <brk id="894" max="16383" man="1"/>
        <brk id="924" max="16383" man="1"/>
        <brk id="1110" max="16383" man="1"/>
        <brk id="1111" max="16383" man="1"/>
        <brk id="1251" max="16383" man="1"/>
        <brk id="1443" max="16383" man="1"/>
        <brk id="1635" max="16383" man="1"/>
        <brk id="1805" max="16383" man="1"/>
        <brk id="1993" max="16383" man="1"/>
        <brk id="2181" max="16383" man="1"/>
      </rowBreaks>
      <pageMargins left="0" right="0" top="0" bottom="0" header="0" footer="0"/>
      <printOptions horizontalCentered="1"/>
      <pageSetup scale="24" fitToHeight="0" orientation="portrait" r:id="rId8"/>
      <headerFooter alignWithMargins="0"/>
    </customSheetView>
  </customSheetViews>
  <mergeCells count="2">
    <mergeCell ref="G1:G2"/>
    <mergeCell ref="A1:A2"/>
  </mergeCells>
  <phoneticPr fontId="0" type="noConversion"/>
  <conditionalFormatting sqref="J97:K97 J49 F11:H11 A179:A180 J50:K52 A11 A46:K48 A93:K95 A53:K53 A12:H12 A7:H10 A13:I14 A133:H143 A131:A132 A175:H175 A113:K113 A176:I176 K176 B179:XFD181 K13 L7:XFD14 A156:XFD156 A15:XFD15 A144:XFD146 A177:XFD178 A114:XFD115 A1:XFD6 A164:J174 I38:K45 I37:I42 I91:K91 A54:H92 A152:I155 B191:XFD191 B201:XFD1048576 A125:XFD125 A120:K120 A196:K196 A186:K186 L182:XFD190 A187:I188 L116:XFD124 A121:I122 L192:XFD200 A197:I198 I16:K36 J99:K100 I97:I100 I127:K143 L126:XFD143 L147:XFD155 L157:XFD176 L16:XFD113 A16:H45 A49:I52 A96:H112 A126:H130 A147:K151 A157:K163">
    <cfRule type="cellIs" dxfId="199" priority="3138" operator="equal">
      <formula>"2ND"</formula>
    </cfRule>
    <cfRule type="cellIs" dxfId="198" priority="3139" operator="equal">
      <formula>"PLUG"</formula>
    </cfRule>
  </conditionalFormatting>
  <conditionalFormatting sqref="K101 K107">
    <cfRule type="cellIs" dxfId="197" priority="3124" operator="equal">
      <formula>"2ND"</formula>
    </cfRule>
    <cfRule type="cellIs" dxfId="196" priority="3125" operator="equal">
      <formula>"PLUG"</formula>
    </cfRule>
  </conditionalFormatting>
  <conditionalFormatting sqref="F131:H132">
    <cfRule type="cellIs" dxfId="195" priority="2941" operator="equal">
      <formula>"2ND"</formula>
    </cfRule>
    <cfRule type="cellIs" dxfId="194" priority="2942" operator="equal">
      <formula>"PLUG"</formula>
    </cfRule>
  </conditionalFormatting>
  <conditionalFormatting sqref="B131:E132">
    <cfRule type="cellIs" dxfId="193" priority="2939" operator="equal">
      <formula>"2ND"</formula>
    </cfRule>
    <cfRule type="cellIs" dxfId="192" priority="2940" operator="equal">
      <formula>"PLUG"</formula>
    </cfRule>
  </conditionalFormatting>
  <conditionalFormatting sqref="I101:I104 I108:I112">
    <cfRule type="cellIs" dxfId="191" priority="2675" operator="equal">
      <formula>"2ND"</formula>
    </cfRule>
    <cfRule type="cellIs" dxfId="190" priority="2676" operator="equal">
      <formula>"PLUG"</formula>
    </cfRule>
  </conditionalFormatting>
  <conditionalFormatting sqref="J96">
    <cfRule type="cellIs" dxfId="189" priority="2671" operator="equal">
      <formula>"2ND"</formula>
    </cfRule>
    <cfRule type="cellIs" dxfId="188" priority="2672" operator="equal">
      <formula>"PLUG"</formula>
    </cfRule>
  </conditionalFormatting>
  <conditionalFormatting sqref="J98:K98">
    <cfRule type="cellIs" dxfId="187" priority="2669" operator="equal">
      <formula>"2ND"</formula>
    </cfRule>
    <cfRule type="cellIs" dxfId="186" priority="2670" operator="equal">
      <formula>"PLUG"</formula>
    </cfRule>
  </conditionalFormatting>
  <conditionalFormatting sqref="J101 J103:J104 J106:J107">
    <cfRule type="cellIs" dxfId="185" priority="2713" operator="equal">
      <formula>"2ND"</formula>
    </cfRule>
    <cfRule type="cellIs" dxfId="184" priority="2714" operator="equal">
      <formula>"PLUG"</formula>
    </cfRule>
  </conditionalFormatting>
  <conditionalFormatting sqref="K96">
    <cfRule type="cellIs" dxfId="183" priority="2667" operator="equal">
      <formula>"2ND"</formula>
    </cfRule>
    <cfRule type="cellIs" dxfId="182" priority="2668" operator="equal">
      <formula>"PLUG"</formula>
    </cfRule>
  </conditionalFormatting>
  <conditionalFormatting sqref="K126">
    <cfRule type="cellIs" dxfId="181" priority="2577" operator="equal">
      <formula>"2ND"</formula>
    </cfRule>
    <cfRule type="cellIs" dxfId="180" priority="2578" operator="equal">
      <formula>"PLUG"</formula>
    </cfRule>
  </conditionalFormatting>
  <conditionalFormatting sqref="I87:I90">
    <cfRule type="cellIs" dxfId="179" priority="2567" operator="equal">
      <formula>"2ND"</formula>
    </cfRule>
    <cfRule type="cellIs" dxfId="178" priority="2568" operator="equal">
      <formula>"PLUG"</formula>
    </cfRule>
  </conditionalFormatting>
  <conditionalFormatting sqref="I77:I81">
    <cfRule type="cellIs" dxfId="177" priority="2555" operator="equal">
      <formula>"2ND"</formula>
    </cfRule>
    <cfRule type="cellIs" dxfId="176" priority="2556" operator="equal">
      <formula>"PLUG"</formula>
    </cfRule>
  </conditionalFormatting>
  <conditionalFormatting sqref="I54:I90">
    <cfRule type="cellIs" dxfId="175" priority="2561" operator="equal">
      <formula>"2ND"</formula>
    </cfRule>
    <cfRule type="cellIs" dxfId="174" priority="2562" operator="equal">
      <formula>"PLUG"</formula>
    </cfRule>
  </conditionalFormatting>
  <conditionalFormatting sqref="I84">
    <cfRule type="cellIs" dxfId="173" priority="2559" operator="equal">
      <formula>"2ND"</formula>
    </cfRule>
    <cfRule type="cellIs" dxfId="172" priority="2560" operator="equal">
      <formula>"PLUG"</formula>
    </cfRule>
  </conditionalFormatting>
  <conditionalFormatting sqref="K49">
    <cfRule type="cellIs" dxfId="171" priority="2549" operator="equal">
      <formula>"2ND"</formula>
    </cfRule>
    <cfRule type="cellIs" dxfId="170" priority="2550" operator="equal">
      <formula>"PLUG"</formula>
    </cfRule>
  </conditionalFormatting>
  <conditionalFormatting sqref="K103:K104">
    <cfRule type="cellIs" dxfId="169" priority="2361" operator="equal">
      <formula>"2ND"</formula>
    </cfRule>
    <cfRule type="cellIs" dxfId="168" priority="2362" operator="equal">
      <formula>"PLUG"</formula>
    </cfRule>
  </conditionalFormatting>
  <conditionalFormatting sqref="K108:K112">
    <cfRule type="cellIs" dxfId="167" priority="2355" operator="equal">
      <formula>"2ND"</formula>
    </cfRule>
    <cfRule type="cellIs" dxfId="166" priority="2356" operator="equal">
      <formula>"PLUG"</formula>
    </cfRule>
  </conditionalFormatting>
  <conditionalFormatting sqref="K105">
    <cfRule type="cellIs" dxfId="165" priority="2359" operator="equal">
      <formula>"2ND"</formula>
    </cfRule>
    <cfRule type="cellIs" dxfId="164" priority="2360" operator="equal">
      <formula>"PLUG"</formula>
    </cfRule>
  </conditionalFormatting>
  <conditionalFormatting sqref="K106">
    <cfRule type="cellIs" dxfId="163" priority="2357" operator="equal">
      <formula>"2ND"</formula>
    </cfRule>
    <cfRule type="cellIs" dxfId="162" priority="2358" operator="equal">
      <formula>"PLUG"</formula>
    </cfRule>
  </conditionalFormatting>
  <conditionalFormatting sqref="J153">
    <cfRule type="cellIs" dxfId="161" priority="2281" operator="equal">
      <formula>"2ND"</formula>
    </cfRule>
    <cfRule type="cellIs" dxfId="160" priority="2282" operator="equal">
      <formula>"PLUG"</formula>
    </cfRule>
  </conditionalFormatting>
  <conditionalFormatting sqref="J126">
    <cfRule type="cellIs" dxfId="159" priority="2305" operator="equal">
      <formula>"2ND"</formula>
    </cfRule>
    <cfRule type="cellIs" dxfId="158" priority="2306" operator="equal">
      <formula>"PLUG"</formula>
    </cfRule>
  </conditionalFormatting>
  <conditionalFormatting sqref="I126">
    <cfRule type="cellIs" dxfId="157" priority="2293" operator="equal">
      <formula>"2ND"</formula>
    </cfRule>
    <cfRule type="cellIs" dxfId="156" priority="2294" operator="equal">
      <formula>"PLUG"</formula>
    </cfRule>
  </conditionalFormatting>
  <conditionalFormatting sqref="J102">
    <cfRule type="cellIs" dxfId="155" priority="2345" operator="equal">
      <formula>"2ND"</formula>
    </cfRule>
    <cfRule type="cellIs" dxfId="154" priority="2346" operator="equal">
      <formula>"PLUG"</formula>
    </cfRule>
  </conditionalFormatting>
  <conditionalFormatting sqref="K154:K155">
    <cfRule type="cellIs" dxfId="153" priority="2277" operator="equal">
      <formula>"2ND"</formula>
    </cfRule>
    <cfRule type="cellIs" dxfId="152" priority="2278" operator="equal">
      <formula>"PLUG"</formula>
    </cfRule>
  </conditionalFormatting>
  <conditionalFormatting sqref="K152">
    <cfRule type="cellIs" dxfId="151" priority="2279" operator="equal">
      <formula>"2ND"</formula>
    </cfRule>
    <cfRule type="cellIs" dxfId="150" priority="2280" operator="equal">
      <formula>"PLUG"</formula>
    </cfRule>
  </conditionalFormatting>
  <conditionalFormatting sqref="J155">
    <cfRule type="cellIs" dxfId="149" priority="2285" operator="equal">
      <formula>"2ND"</formula>
    </cfRule>
    <cfRule type="cellIs" dxfId="148" priority="2286" operator="equal">
      <formula>"PLUG"</formula>
    </cfRule>
  </conditionalFormatting>
  <conditionalFormatting sqref="K102">
    <cfRule type="cellIs" dxfId="147" priority="2347" operator="equal">
      <formula>"2ND"</formula>
    </cfRule>
    <cfRule type="cellIs" dxfId="146" priority="2348" operator="equal">
      <formula>"PLUG"</formula>
    </cfRule>
  </conditionalFormatting>
  <conditionalFormatting sqref="I107">
    <cfRule type="cellIs" dxfId="145" priority="2343" operator="equal">
      <formula>"2ND"</formula>
    </cfRule>
    <cfRule type="cellIs" dxfId="144" priority="2344" operator="equal">
      <formula>"PLUG"</formula>
    </cfRule>
  </conditionalFormatting>
  <conditionalFormatting sqref="I105">
    <cfRule type="cellIs" dxfId="143" priority="2341" operator="equal">
      <formula>"2ND"</formula>
    </cfRule>
    <cfRule type="cellIs" dxfId="142" priority="2342" operator="equal">
      <formula>"PLUG"</formula>
    </cfRule>
  </conditionalFormatting>
  <conditionalFormatting sqref="I106">
    <cfRule type="cellIs" dxfId="141" priority="2339" operator="equal">
      <formula>"2ND"</formula>
    </cfRule>
    <cfRule type="cellIs" dxfId="140" priority="2340" operator="equal">
      <formula>"PLUG"</formula>
    </cfRule>
  </conditionalFormatting>
  <conditionalFormatting sqref="I175">
    <cfRule type="cellIs" dxfId="139" priority="2273" operator="equal">
      <formula>"2ND"</formula>
    </cfRule>
    <cfRule type="cellIs" dxfId="138" priority="2274" operator="equal">
      <formula>"PLUG"</formula>
    </cfRule>
  </conditionalFormatting>
  <conditionalFormatting sqref="J154 K153 J152">
    <cfRule type="cellIs" dxfId="137" priority="2283" operator="equal">
      <formula>"2ND"</formula>
    </cfRule>
    <cfRule type="cellIs" dxfId="136" priority="2284" operator="equal">
      <formula>"PLUG"</formula>
    </cfRule>
  </conditionalFormatting>
  <conditionalFormatting sqref="I37:K37">
    <cfRule type="cellIs" dxfId="135" priority="2041" operator="equal">
      <formula>"2ND"</formula>
    </cfRule>
    <cfRule type="cellIs" dxfId="134" priority="2042" operator="equal">
      <formula>"PLUG"</formula>
    </cfRule>
  </conditionalFormatting>
  <conditionalFormatting sqref="K92">
    <cfRule type="cellIs" dxfId="133" priority="1957" operator="equal">
      <formula>"2ND"</formula>
    </cfRule>
    <cfRule type="cellIs" dxfId="132" priority="1958" operator="equal">
      <formula>"PLUG"</formula>
    </cfRule>
  </conditionalFormatting>
  <conditionalFormatting sqref="I92">
    <cfRule type="cellIs" dxfId="131" priority="1955" operator="equal">
      <formula>"2ND"</formula>
    </cfRule>
    <cfRule type="cellIs" dxfId="130" priority="1956" operator="equal">
      <formula>"PLUG"</formula>
    </cfRule>
  </conditionalFormatting>
  <conditionalFormatting sqref="J92">
    <cfRule type="cellIs" dxfId="129" priority="1951" operator="equal">
      <formula>"2ND"</formula>
    </cfRule>
    <cfRule type="cellIs" dxfId="128" priority="1952" operator="equal">
      <formula>"PLUG"</formula>
    </cfRule>
  </conditionalFormatting>
  <conditionalFormatting sqref="B11:E11">
    <cfRule type="cellIs" dxfId="127" priority="297" operator="equal">
      <formula>"2ND"</formula>
    </cfRule>
    <cfRule type="cellIs" dxfId="126" priority="298" operator="equal">
      <formula>"PLUG"</formula>
    </cfRule>
  </conditionalFormatting>
  <conditionalFormatting sqref="J176">
    <cfRule type="cellIs" dxfId="125" priority="285" operator="equal">
      <formula>"2ND"</formula>
    </cfRule>
    <cfRule type="cellIs" dxfId="124" priority="286" operator="equal">
      <formula>"PLUG"</formula>
    </cfRule>
  </conditionalFormatting>
  <conditionalFormatting sqref="J175">
    <cfRule type="cellIs" dxfId="123" priority="283" operator="equal">
      <formula>"2ND"</formula>
    </cfRule>
    <cfRule type="cellIs" dxfId="122" priority="284" operator="equal">
      <formula>"PLUG"</formula>
    </cfRule>
  </conditionalFormatting>
  <conditionalFormatting sqref="I96">
    <cfRule type="cellIs" dxfId="121" priority="115" operator="equal">
      <formula>"2ND"</formula>
    </cfRule>
    <cfRule type="cellIs" dxfId="120" priority="116" operator="equal">
      <formula>"PLUG"</formula>
    </cfRule>
  </conditionalFormatting>
  <conditionalFormatting sqref="I7:K12">
    <cfRule type="cellIs" dxfId="119" priority="93" operator="equal">
      <formula>"2ND"</formula>
    </cfRule>
    <cfRule type="cellIs" dxfId="118" priority="94" operator="equal">
      <formula>"PLUG"</formula>
    </cfRule>
  </conditionalFormatting>
  <conditionalFormatting sqref="J13:J14">
    <cfRule type="cellIs" dxfId="117" priority="105" operator="equal">
      <formula>"2ND"</formula>
    </cfRule>
    <cfRule type="cellIs" dxfId="116" priority="106" operator="equal">
      <formula>"PLUG"</formula>
    </cfRule>
  </conditionalFormatting>
  <conditionalFormatting sqref="K14">
    <cfRule type="cellIs" dxfId="115" priority="99" operator="equal">
      <formula>"2ND"</formula>
    </cfRule>
    <cfRule type="cellIs" dxfId="114" priority="100" operator="equal">
      <formula>"PLUG"</formula>
    </cfRule>
  </conditionalFormatting>
  <conditionalFormatting sqref="J87:J90">
    <cfRule type="cellIs" dxfId="113" priority="91" operator="equal">
      <formula>"2ND"</formula>
    </cfRule>
    <cfRule type="cellIs" dxfId="112" priority="92" operator="equal">
      <formula>"PLUG"</formula>
    </cfRule>
  </conditionalFormatting>
  <conditionalFormatting sqref="J77:J81">
    <cfRule type="cellIs" dxfId="111" priority="83" operator="equal">
      <formula>"2ND"</formula>
    </cfRule>
    <cfRule type="cellIs" dxfId="110" priority="84" operator="equal">
      <formula>"PLUG"</formula>
    </cfRule>
  </conditionalFormatting>
  <conditionalFormatting sqref="J54:J90">
    <cfRule type="cellIs" dxfId="109" priority="87" operator="equal">
      <formula>"2ND"</formula>
    </cfRule>
    <cfRule type="cellIs" dxfId="108" priority="88" operator="equal">
      <formula>"PLUG"</formula>
    </cfRule>
  </conditionalFormatting>
  <conditionalFormatting sqref="J84">
    <cfRule type="cellIs" dxfId="107" priority="85" operator="equal">
      <formula>"2ND"</formula>
    </cfRule>
    <cfRule type="cellIs" dxfId="106" priority="86" operator="equal">
      <formula>"PLUG"</formula>
    </cfRule>
  </conditionalFormatting>
  <conditionalFormatting sqref="K87:K90">
    <cfRule type="cellIs" dxfId="105" priority="75" operator="equal">
      <formula>"2ND"</formula>
    </cfRule>
    <cfRule type="cellIs" dxfId="104" priority="76" operator="equal">
      <formula>"PLUG"</formula>
    </cfRule>
  </conditionalFormatting>
  <conditionalFormatting sqref="K77:K81">
    <cfRule type="cellIs" dxfId="103" priority="67" operator="equal">
      <formula>"2ND"</formula>
    </cfRule>
    <cfRule type="cellIs" dxfId="102" priority="68" operator="equal">
      <formula>"PLUG"</formula>
    </cfRule>
  </conditionalFormatting>
  <conditionalFormatting sqref="K54:K90">
    <cfRule type="cellIs" dxfId="101" priority="71" operator="equal">
      <formula>"2ND"</formula>
    </cfRule>
    <cfRule type="cellIs" dxfId="100" priority="72" operator="equal">
      <formula>"PLUG"</formula>
    </cfRule>
  </conditionalFormatting>
  <conditionalFormatting sqref="K84">
    <cfRule type="cellIs" dxfId="99" priority="69" operator="equal">
      <formula>"2ND"</formula>
    </cfRule>
    <cfRule type="cellIs" dxfId="98" priority="70" operator="equal">
      <formula>"PLUG"</formula>
    </cfRule>
  </conditionalFormatting>
  <conditionalFormatting sqref="J108:J112">
    <cfRule type="cellIs" dxfId="97" priority="57" operator="equal">
      <formula>"2ND"</formula>
    </cfRule>
    <cfRule type="cellIs" dxfId="96" priority="58" operator="equal">
      <formula>"PLUG"</formula>
    </cfRule>
  </conditionalFormatting>
  <conditionalFormatting sqref="J105">
    <cfRule type="cellIs" dxfId="95" priority="55" operator="equal">
      <formula>"2ND"</formula>
    </cfRule>
    <cfRule type="cellIs" dxfId="94" priority="56" operator="equal">
      <formula>"PLUG"</formula>
    </cfRule>
  </conditionalFormatting>
  <conditionalFormatting sqref="K175">
    <cfRule type="cellIs" dxfId="93" priority="51" operator="equal">
      <formula>"2ND"</formula>
    </cfRule>
    <cfRule type="cellIs" dxfId="92" priority="52" operator="equal">
      <formula>"PLUG"</formula>
    </cfRule>
  </conditionalFormatting>
  <conditionalFormatting sqref="K164:K174">
    <cfRule type="cellIs" dxfId="91" priority="53" operator="equal">
      <formula>"2ND"</formula>
    </cfRule>
    <cfRule type="cellIs" dxfId="90" priority="54" operator="equal">
      <formula>"PLUG"</formula>
    </cfRule>
  </conditionalFormatting>
  <conditionalFormatting sqref="K197:K198">
    <cfRule type="cellIs" dxfId="89" priority="27" operator="equal">
      <formula>"2ND"</formula>
    </cfRule>
    <cfRule type="cellIs" dxfId="88" priority="28" operator="equal">
      <formula>"PLUG"</formula>
    </cfRule>
  </conditionalFormatting>
  <conditionalFormatting sqref="B195">
    <cfRule type="cellIs" dxfId="87" priority="23" operator="equal">
      <formula>"2ND"</formula>
    </cfRule>
    <cfRule type="cellIs" dxfId="86" priority="24" operator="equal">
      <formula>"PLUG"</formula>
    </cfRule>
  </conditionalFormatting>
  <conditionalFormatting sqref="A183:K184 A189:K190 A185 C185:K185 A182:F182 H182:K182">
    <cfRule type="cellIs" dxfId="85" priority="49" operator="equal">
      <formula>"2ND"</formula>
    </cfRule>
    <cfRule type="cellIs" dxfId="84" priority="50" operator="equal">
      <formula>"PLUG"</formula>
    </cfRule>
  </conditionalFormatting>
  <conditionalFormatting sqref="K187:K188">
    <cfRule type="cellIs" dxfId="83" priority="39" operator="equal">
      <formula>"2ND"</formula>
    </cfRule>
    <cfRule type="cellIs" dxfId="82" priority="40" operator="equal">
      <formula>"PLUG"</formula>
    </cfRule>
  </conditionalFormatting>
  <conditionalFormatting sqref="J188">
    <cfRule type="cellIs" dxfId="81" priority="47" operator="equal">
      <formula>"2ND"</formula>
    </cfRule>
    <cfRule type="cellIs" dxfId="80" priority="48" operator="equal">
      <formula>"PLUG"</formula>
    </cfRule>
  </conditionalFormatting>
  <conditionalFormatting sqref="J187">
    <cfRule type="cellIs" dxfId="79" priority="45" operator="equal">
      <formula>"2ND"</formula>
    </cfRule>
    <cfRule type="cellIs" dxfId="78" priority="46" operator="equal">
      <formula>"PLUG"</formula>
    </cfRule>
  </conditionalFormatting>
  <conditionalFormatting sqref="A193:K194 A199:K200 A195 C195:K195 A192:F192 H192:K192">
    <cfRule type="cellIs" dxfId="77" priority="37" operator="equal">
      <formula>"2ND"</formula>
    </cfRule>
    <cfRule type="cellIs" dxfId="76" priority="38" operator="equal">
      <formula>"PLUG"</formula>
    </cfRule>
  </conditionalFormatting>
  <conditionalFormatting sqref="J198">
    <cfRule type="cellIs" dxfId="75" priority="35" operator="equal">
      <formula>"2ND"</formula>
    </cfRule>
    <cfRule type="cellIs" dxfId="74" priority="36" operator="equal">
      <formula>"PLUG"</formula>
    </cfRule>
  </conditionalFormatting>
  <conditionalFormatting sqref="J197">
    <cfRule type="cellIs" dxfId="73" priority="33" operator="equal">
      <formula>"2ND"</formula>
    </cfRule>
    <cfRule type="cellIs" dxfId="72" priority="34" operator="equal">
      <formula>"PLUG"</formula>
    </cfRule>
  </conditionalFormatting>
  <conditionalFormatting sqref="B185">
    <cfRule type="cellIs" dxfId="71" priority="25" operator="equal">
      <formula>"2ND"</formula>
    </cfRule>
    <cfRule type="cellIs" dxfId="70" priority="26" operator="equal">
      <formula>"PLUG"</formula>
    </cfRule>
  </conditionalFormatting>
  <conditionalFormatting sqref="A117:K118 A123:K124 A119 C119:K119 A116:F116 H116:K116">
    <cfRule type="cellIs" dxfId="69" priority="19" operator="equal">
      <formula>"2ND"</formula>
    </cfRule>
    <cfRule type="cellIs" dxfId="68" priority="20" operator="equal">
      <formula>"PLUG"</formula>
    </cfRule>
  </conditionalFormatting>
  <conditionalFormatting sqref="K121:K122">
    <cfRule type="cellIs" dxfId="67" priority="9" operator="equal">
      <formula>"2ND"</formula>
    </cfRule>
    <cfRule type="cellIs" dxfId="66" priority="10" operator="equal">
      <formula>"PLUG"</formula>
    </cfRule>
  </conditionalFormatting>
  <conditionalFormatting sqref="J122">
    <cfRule type="cellIs" dxfId="65" priority="17" operator="equal">
      <formula>"2ND"</formula>
    </cfRule>
    <cfRule type="cellIs" dxfId="64" priority="18" operator="equal">
      <formula>"PLUG"</formula>
    </cfRule>
  </conditionalFormatting>
  <conditionalFormatting sqref="J121">
    <cfRule type="cellIs" dxfId="63" priority="15" operator="equal">
      <formula>"2ND"</formula>
    </cfRule>
    <cfRule type="cellIs" dxfId="62" priority="16" operator="equal">
      <formula>"PLUG"</formula>
    </cfRule>
  </conditionalFormatting>
  <conditionalFormatting sqref="B119">
    <cfRule type="cellIs" dxfId="61" priority="7" operator="equal">
      <formula>"2ND"</formula>
    </cfRule>
    <cfRule type="cellIs" dxfId="60" priority="8" operator="equal">
      <formula>"PLUG"</formula>
    </cfRule>
  </conditionalFormatting>
  <conditionalFormatting sqref="G116">
    <cfRule type="cellIs" dxfId="59" priority="5" operator="equal">
      <formula>"2ND"</formula>
    </cfRule>
    <cfRule type="cellIs" dxfId="58" priority="6" operator="equal">
      <formula>"PLUG"</formula>
    </cfRule>
  </conditionalFormatting>
  <conditionalFormatting sqref="G182">
    <cfRule type="cellIs" dxfId="57" priority="3" operator="equal">
      <formula>"2ND"</formula>
    </cfRule>
    <cfRule type="cellIs" dxfId="56" priority="4" operator="equal">
      <formula>"PLUG"</formula>
    </cfRule>
  </conditionalFormatting>
  <conditionalFormatting sqref="G192">
    <cfRule type="cellIs" dxfId="55" priority="1" operator="equal">
      <formula>"2ND"</formula>
    </cfRule>
    <cfRule type="cellIs" dxfId="54" priority="2" operator="equal">
      <formula>"PLUG"</formula>
    </cfRule>
  </conditionalFormatting>
  <printOptions horizontalCentered="1"/>
  <pageMargins left="0.25" right="0.25" top="0.25" bottom="0.5" header="0" footer="0"/>
  <pageSetup scale="42" fitToHeight="0" orientation="landscape" r:id="rId9"/>
  <headerFooter alignWithMargins="0"/>
  <rowBreaks count="2" manualBreakCount="2">
    <brk id="94" max="16383" man="1"/>
    <brk id="1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50"/>
  <sheetViews>
    <sheetView topLeftCell="E1" workbookViewId="0">
      <selection activeCell="E8" sqref="E8"/>
    </sheetView>
  </sheetViews>
  <sheetFormatPr defaultRowHeight="15.75"/>
  <cols>
    <col min="1" max="2" width="15.7109375" style="20" hidden="1" customWidth="1"/>
    <col min="3" max="3" width="15.7109375" style="300" hidden="1" customWidth="1"/>
    <col min="4" max="4" width="15.7109375" style="304" hidden="1" customWidth="1"/>
    <col min="5" max="5" width="11.85546875" style="280" customWidth="1"/>
    <col min="6" max="6" width="57.7109375" style="266" customWidth="1"/>
    <col min="7" max="7" width="18.140625" style="46" customWidth="1"/>
    <col min="8" max="8" width="13.7109375" style="12" customWidth="1"/>
    <col min="9" max="9" width="9.28515625" style="12" customWidth="1"/>
    <col min="10" max="10" width="14" style="12" customWidth="1"/>
    <col min="11" max="12" width="13.7109375" style="12" customWidth="1"/>
    <col min="13" max="13" width="67.42578125" style="538" customWidth="1"/>
    <col min="16" max="16" width="9.140625" style="12"/>
    <col min="19" max="16384" width="9.140625" style="12"/>
  </cols>
  <sheetData>
    <row r="1" spans="1:13" ht="16.5" customHeight="1">
      <c r="A1" s="5"/>
      <c r="B1" s="5"/>
      <c r="C1" s="297"/>
      <c r="D1" s="301"/>
      <c r="E1" s="598" t="s">
        <v>247</v>
      </c>
      <c r="F1" s="607"/>
      <c r="G1" s="6" t="s">
        <v>75</v>
      </c>
      <c r="H1" s="7" t="s">
        <v>75</v>
      </c>
      <c r="I1" s="7"/>
      <c r="J1" s="7"/>
      <c r="K1" s="7"/>
      <c r="L1" s="7"/>
    </row>
    <row r="2" spans="1:13" ht="16.5" thickBot="1">
      <c r="A2" s="5">
        <f>SUM(A5:A142)</f>
        <v>0</v>
      </c>
      <c r="B2" s="5" t="s">
        <v>248</v>
      </c>
      <c r="C2" s="297" t="s">
        <v>249</v>
      </c>
      <c r="D2" s="301" t="s">
        <v>250</v>
      </c>
      <c r="E2" s="608"/>
      <c r="F2" s="609"/>
      <c r="G2" s="13" t="s">
        <v>9</v>
      </c>
      <c r="H2" s="14" t="s">
        <v>10</v>
      </c>
      <c r="I2" s="14"/>
      <c r="J2" s="14"/>
      <c r="K2" s="14"/>
      <c r="L2" s="14"/>
      <c r="M2" s="538" t="s">
        <v>806</v>
      </c>
    </row>
    <row r="3" spans="1:13">
      <c r="A3" s="5"/>
      <c r="B3" s="5"/>
      <c r="C3" s="297"/>
      <c r="D3" s="301"/>
      <c r="E3" s="505"/>
      <c r="F3" s="506"/>
      <c r="G3" s="507"/>
      <c r="H3" s="508"/>
      <c r="I3" s="508"/>
      <c r="J3" s="508"/>
      <c r="K3" s="508"/>
      <c r="L3" s="508"/>
      <c r="M3" s="538" t="s">
        <v>830</v>
      </c>
    </row>
    <row r="4" spans="1:13" ht="16.5" thickBot="1">
      <c r="A4" s="5"/>
      <c r="B4" s="5"/>
      <c r="C4" s="297"/>
      <c r="D4" s="301"/>
      <c r="E4" s="505"/>
      <c r="F4" s="506"/>
      <c r="G4" s="507"/>
      <c r="H4" s="508"/>
      <c r="I4" s="508"/>
      <c r="J4" s="508"/>
      <c r="K4" s="508"/>
      <c r="L4" s="508"/>
    </row>
    <row r="5" spans="1:13" ht="16.5" thickBot="1">
      <c r="A5" s="293" t="s">
        <v>58</v>
      </c>
      <c r="B5" s="293"/>
      <c r="C5" s="298"/>
      <c r="D5" s="302"/>
      <c r="E5" s="267">
        <v>1</v>
      </c>
      <c r="F5" s="268" t="s">
        <v>251</v>
      </c>
      <c r="G5" s="26"/>
      <c r="H5" s="27"/>
      <c r="I5" s="27"/>
      <c r="J5" s="27"/>
      <c r="K5" s="27"/>
      <c r="L5" s="27"/>
      <c r="M5" s="538" t="s">
        <v>807</v>
      </c>
    </row>
    <row r="6" spans="1:13">
      <c r="A6" s="54"/>
      <c r="B6" s="54"/>
      <c r="C6" s="299"/>
      <c r="D6" s="303"/>
      <c r="E6" s="269"/>
      <c r="F6" s="261"/>
      <c r="G6" s="613" t="s">
        <v>825</v>
      </c>
      <c r="H6" s="614"/>
      <c r="I6" s="611" t="s">
        <v>820</v>
      </c>
      <c r="J6" s="612"/>
      <c r="K6" s="545" t="s">
        <v>815</v>
      </c>
      <c r="L6" s="545"/>
    </row>
    <row r="7" spans="1:13">
      <c r="A7" s="54"/>
      <c r="B7" s="54"/>
      <c r="C7" s="299"/>
      <c r="D7" s="303"/>
      <c r="E7" s="282"/>
      <c r="F7" s="283" t="s">
        <v>252</v>
      </c>
      <c r="G7" s="284">
        <v>2000</v>
      </c>
      <c r="H7" s="568" t="s">
        <v>821</v>
      </c>
      <c r="I7" s="284">
        <v>2000</v>
      </c>
      <c r="J7" s="568" t="s">
        <v>821</v>
      </c>
      <c r="K7" s="569">
        <v>2000</v>
      </c>
      <c r="L7" s="287" t="s">
        <v>255</v>
      </c>
    </row>
    <row r="8" spans="1:13">
      <c r="A8" s="54"/>
      <c r="B8" s="54"/>
      <c r="C8" s="299"/>
      <c r="D8" s="303"/>
      <c r="E8" s="273"/>
      <c r="F8" s="605" t="s">
        <v>833</v>
      </c>
      <c r="G8" s="605"/>
      <c r="H8" s="606"/>
      <c r="I8" s="570"/>
      <c r="J8" s="567"/>
      <c r="K8" s="571"/>
      <c r="L8" s="567"/>
    </row>
    <row r="9" spans="1:13" ht="16.5" thickBot="1">
      <c r="A9" s="54"/>
      <c r="B9" s="54"/>
      <c r="C9" s="299"/>
      <c r="D9" s="303"/>
      <c r="E9" s="269"/>
      <c r="F9" s="261"/>
      <c r="G9" s="21"/>
      <c r="H9" s="22"/>
      <c r="I9" s="22"/>
      <c r="J9" s="22"/>
      <c r="K9" s="545"/>
      <c r="L9" s="545"/>
    </row>
    <row r="10" spans="1:13">
      <c r="A10" s="54"/>
      <c r="B10" s="54"/>
      <c r="C10" s="299"/>
      <c r="D10" s="303"/>
      <c r="E10" s="267">
        <v>3</v>
      </c>
      <c r="F10" s="268" t="str">
        <f>'Materials Procurement Plan'!B8</f>
        <v>CIP CONCRETE</v>
      </c>
      <c r="G10" s="26"/>
      <c r="H10" s="27"/>
      <c r="I10" s="27"/>
      <c r="J10" s="27"/>
      <c r="K10" s="27"/>
      <c r="L10" s="27"/>
      <c r="M10" s="543" t="s">
        <v>816</v>
      </c>
    </row>
    <row r="11" spans="1:13" s="28" customFormat="1">
      <c r="A11" s="54"/>
      <c r="B11" s="54"/>
      <c r="C11" s="299"/>
      <c r="D11" s="303"/>
      <c r="E11" s="273" t="s">
        <v>75</v>
      </c>
      <c r="F11" s="263"/>
      <c r="G11" s="613" t="s">
        <v>825</v>
      </c>
      <c r="H11" s="614"/>
      <c r="I11" s="611" t="s">
        <v>820</v>
      </c>
      <c r="J11" s="612"/>
      <c r="K11" s="546" t="s">
        <v>815</v>
      </c>
      <c r="L11" s="546"/>
      <c r="M11" s="539"/>
    </row>
    <row r="12" spans="1:13">
      <c r="A12" s="54"/>
      <c r="B12" s="54"/>
      <c r="C12" s="299"/>
      <c r="D12" s="303"/>
      <c r="E12" s="274"/>
      <c r="F12" s="275" t="s">
        <v>85</v>
      </c>
      <c r="G12" s="149"/>
      <c r="H12" s="550"/>
      <c r="I12" s="149"/>
      <c r="J12" s="548"/>
      <c r="K12" s="150"/>
      <c r="L12" s="150"/>
    </row>
    <row r="13" spans="1:13">
      <c r="A13" s="54"/>
      <c r="B13" s="54"/>
      <c r="C13" s="299"/>
      <c r="D13" s="303"/>
      <c r="E13" s="273"/>
      <c r="F13" s="263" t="s">
        <v>101</v>
      </c>
      <c r="G13" s="34">
        <v>403</v>
      </c>
      <c r="H13" s="547" t="s">
        <v>821</v>
      </c>
      <c r="I13" s="34">
        <v>403</v>
      </c>
      <c r="J13" s="547" t="s">
        <v>821</v>
      </c>
      <c r="K13" s="567"/>
      <c r="L13" s="567"/>
    </row>
    <row r="14" spans="1:13">
      <c r="A14" s="54"/>
      <c r="B14" s="54"/>
      <c r="C14" s="299"/>
      <c r="D14" s="303"/>
      <c r="E14" s="273"/>
      <c r="F14" s="263" t="s">
        <v>104</v>
      </c>
      <c r="G14" s="34">
        <v>246</v>
      </c>
      <c r="H14" s="547" t="s">
        <v>821</v>
      </c>
      <c r="I14" s="34">
        <v>246</v>
      </c>
      <c r="J14" s="547" t="s">
        <v>821</v>
      </c>
      <c r="K14" s="567"/>
      <c r="L14" s="567"/>
    </row>
    <row r="15" spans="1:13">
      <c r="A15" s="54"/>
      <c r="B15" s="54"/>
      <c r="C15" s="299"/>
      <c r="D15" s="303"/>
      <c r="E15" s="273"/>
      <c r="F15" s="263" t="s">
        <v>105</v>
      </c>
      <c r="G15" s="34">
        <v>45</v>
      </c>
      <c r="H15" s="547" t="s">
        <v>821</v>
      </c>
      <c r="I15" s="34">
        <v>45</v>
      </c>
      <c r="J15" s="547" t="s">
        <v>821</v>
      </c>
      <c r="K15" s="567"/>
      <c r="L15" s="567"/>
    </row>
    <row r="16" spans="1:13" ht="30">
      <c r="A16" s="54"/>
      <c r="B16" s="54"/>
      <c r="C16" s="299"/>
      <c r="D16" s="303"/>
      <c r="E16" s="273"/>
      <c r="F16" s="263" t="s">
        <v>106</v>
      </c>
      <c r="G16" s="34">
        <v>74</v>
      </c>
      <c r="H16" s="547" t="s">
        <v>821</v>
      </c>
      <c r="I16" s="34">
        <v>74</v>
      </c>
      <c r="J16" s="547" t="s">
        <v>821</v>
      </c>
      <c r="K16" s="567"/>
      <c r="L16" s="567"/>
    </row>
    <row r="17" spans="1:13">
      <c r="A17" s="54"/>
      <c r="B17" s="54"/>
      <c r="C17" s="299"/>
      <c r="D17" s="303"/>
      <c r="E17" s="273"/>
      <c r="F17" s="263" t="s">
        <v>107</v>
      </c>
      <c r="G17" s="34">
        <v>5</v>
      </c>
      <c r="H17" s="547" t="s">
        <v>821</v>
      </c>
      <c r="I17" s="34">
        <v>5</v>
      </c>
      <c r="J17" s="547" t="s">
        <v>821</v>
      </c>
      <c r="K17" s="567"/>
      <c r="L17" s="567"/>
    </row>
    <row r="18" spans="1:13">
      <c r="A18" s="54"/>
      <c r="B18" s="54"/>
      <c r="C18" s="299"/>
      <c r="D18" s="303"/>
      <c r="E18" s="273"/>
      <c r="F18" s="263" t="s">
        <v>108</v>
      </c>
      <c r="G18" s="34">
        <v>1.1000000000000001</v>
      </c>
      <c r="H18" s="547" t="s">
        <v>823</v>
      </c>
      <c r="I18" s="34">
        <v>1.1000000000000001</v>
      </c>
      <c r="J18" s="547" t="s">
        <v>823</v>
      </c>
      <c r="K18" s="567"/>
      <c r="L18" s="567"/>
    </row>
    <row r="19" spans="1:13">
      <c r="A19" s="54"/>
      <c r="B19" s="54"/>
      <c r="C19" s="299"/>
      <c r="D19" s="303"/>
      <c r="E19" s="273"/>
      <c r="F19" s="263" t="s">
        <v>109</v>
      </c>
      <c r="G19" s="34">
        <v>8</v>
      </c>
      <c r="H19" s="547" t="s">
        <v>821</v>
      </c>
      <c r="I19" s="34">
        <v>8</v>
      </c>
      <c r="J19" s="547" t="s">
        <v>821</v>
      </c>
      <c r="K19" s="567"/>
      <c r="L19" s="567"/>
    </row>
    <row r="20" spans="1:13">
      <c r="A20" s="54"/>
      <c r="B20" s="54"/>
      <c r="C20" s="299"/>
      <c r="D20" s="303"/>
      <c r="E20" s="273"/>
      <c r="F20" s="263" t="s">
        <v>110</v>
      </c>
      <c r="G20" s="34">
        <v>14</v>
      </c>
      <c r="H20" s="547" t="s">
        <v>821</v>
      </c>
      <c r="I20" s="34">
        <v>14</v>
      </c>
      <c r="J20" s="547" t="s">
        <v>821</v>
      </c>
      <c r="K20" s="567"/>
      <c r="L20" s="567"/>
    </row>
    <row r="21" spans="1:13">
      <c r="A21" s="54"/>
      <c r="B21" s="54"/>
      <c r="C21" s="299"/>
      <c r="D21" s="303"/>
      <c r="E21" s="273"/>
      <c r="F21" s="263" t="s">
        <v>111</v>
      </c>
      <c r="G21" s="34">
        <v>2</v>
      </c>
      <c r="H21" s="547" t="s">
        <v>821</v>
      </c>
      <c r="I21" s="34">
        <v>2</v>
      </c>
      <c r="J21" s="547" t="s">
        <v>821</v>
      </c>
      <c r="K21" s="567"/>
      <c r="L21" s="567"/>
    </row>
    <row r="22" spans="1:13">
      <c r="A22" s="54"/>
      <c r="B22" s="54"/>
      <c r="C22" s="299"/>
      <c r="D22" s="303"/>
      <c r="E22" s="273"/>
      <c r="F22" s="263" t="s">
        <v>113</v>
      </c>
      <c r="G22" s="34">
        <v>14</v>
      </c>
      <c r="H22" s="547" t="s">
        <v>821</v>
      </c>
      <c r="I22" s="34">
        <v>14</v>
      </c>
      <c r="J22" s="547" t="s">
        <v>821</v>
      </c>
      <c r="K22" s="567"/>
      <c r="L22" s="567"/>
    </row>
    <row r="23" spans="1:13">
      <c r="A23" s="54"/>
      <c r="B23" s="54"/>
      <c r="C23" s="299"/>
      <c r="D23" s="303"/>
      <c r="E23" s="273"/>
      <c r="F23" s="263" t="s">
        <v>114</v>
      </c>
      <c r="G23" s="34">
        <v>18468</v>
      </c>
      <c r="H23" s="547" t="s">
        <v>821</v>
      </c>
      <c r="I23" s="34">
        <v>18468</v>
      </c>
      <c r="J23" s="547" t="s">
        <v>821</v>
      </c>
      <c r="K23" s="567"/>
      <c r="L23" s="567"/>
    </row>
    <row r="24" spans="1:13">
      <c r="A24" s="54"/>
      <c r="B24" s="54"/>
      <c r="C24" s="299"/>
      <c r="D24" s="303"/>
      <c r="E24" s="273"/>
      <c r="F24" s="263" t="s">
        <v>115</v>
      </c>
      <c r="G24" s="34">
        <v>2</v>
      </c>
      <c r="H24" s="547" t="s">
        <v>821</v>
      </c>
      <c r="I24" s="34">
        <v>2</v>
      </c>
      <c r="J24" s="547" t="s">
        <v>821</v>
      </c>
      <c r="K24" s="567"/>
      <c r="L24" s="567"/>
    </row>
    <row r="25" spans="1:13">
      <c r="A25" s="54"/>
      <c r="B25" s="54"/>
      <c r="C25" s="299"/>
      <c r="D25" s="303"/>
      <c r="E25" s="273"/>
      <c r="F25" s="263" t="s">
        <v>116</v>
      </c>
      <c r="G25" s="34">
        <v>10</v>
      </c>
      <c r="H25" s="547" t="s">
        <v>821</v>
      </c>
      <c r="I25" s="34">
        <v>10</v>
      </c>
      <c r="J25" s="547" t="s">
        <v>821</v>
      </c>
      <c r="K25" s="567"/>
      <c r="L25" s="567"/>
    </row>
    <row r="26" spans="1:13">
      <c r="A26" s="54"/>
      <c r="B26" s="54"/>
      <c r="C26" s="299"/>
      <c r="D26" s="303"/>
      <c r="E26" s="273"/>
      <c r="F26" s="263" t="s">
        <v>117</v>
      </c>
      <c r="G26" s="34">
        <v>2670</v>
      </c>
      <c r="H26" s="547" t="s">
        <v>821</v>
      </c>
      <c r="I26" s="34">
        <v>2670</v>
      </c>
      <c r="J26" s="547" t="s">
        <v>821</v>
      </c>
      <c r="K26" s="567"/>
      <c r="L26" s="567"/>
    </row>
    <row r="27" spans="1:13" ht="30">
      <c r="A27" s="54"/>
      <c r="B27" s="54"/>
      <c r="C27" s="299"/>
      <c r="D27" s="303"/>
      <c r="E27" s="273"/>
      <c r="F27" s="263" t="s">
        <v>819</v>
      </c>
      <c r="G27" s="34">
        <v>445</v>
      </c>
      <c r="H27" s="547" t="s">
        <v>821</v>
      </c>
      <c r="I27" s="34">
        <v>445</v>
      </c>
      <c r="J27" s="547" t="s">
        <v>821</v>
      </c>
      <c r="K27" s="567"/>
      <c r="L27" s="567"/>
    </row>
    <row r="28" spans="1:13">
      <c r="A28" s="54"/>
      <c r="B28" s="54"/>
      <c r="C28" s="299"/>
      <c r="D28" s="303"/>
      <c r="E28" s="282"/>
      <c r="F28" s="283" t="s">
        <v>119</v>
      </c>
      <c r="G28" s="284">
        <v>1532.6</v>
      </c>
      <c r="H28" s="568" t="s">
        <v>822</v>
      </c>
      <c r="I28" s="284">
        <v>1532.6</v>
      </c>
      <c r="J28" s="568" t="s">
        <v>822</v>
      </c>
      <c r="K28" s="572"/>
      <c r="L28" s="572"/>
    </row>
    <row r="29" spans="1:13">
      <c r="A29" s="54"/>
      <c r="B29" s="54"/>
      <c r="C29" s="299"/>
      <c r="D29" s="303"/>
      <c r="E29" s="273"/>
      <c r="F29" s="605" t="s">
        <v>833</v>
      </c>
      <c r="G29" s="605"/>
      <c r="H29" s="606"/>
      <c r="I29" s="570"/>
      <c r="J29" s="567"/>
      <c r="K29" s="571"/>
      <c r="L29" s="567"/>
    </row>
    <row r="30" spans="1:13" ht="16.5" thickBot="1">
      <c r="A30" s="54"/>
      <c r="B30" s="54"/>
      <c r="C30" s="299"/>
      <c r="D30" s="303"/>
      <c r="E30" s="269"/>
      <c r="F30" s="261"/>
      <c r="G30" s="21"/>
      <c r="H30" s="22"/>
      <c r="I30" s="22"/>
      <c r="J30" s="22"/>
      <c r="K30" s="545"/>
      <c r="L30" s="545"/>
    </row>
    <row r="31" spans="1:13">
      <c r="A31" s="54"/>
      <c r="B31" s="54"/>
      <c r="C31" s="299"/>
      <c r="D31" s="303"/>
      <c r="E31" s="267">
        <v>5</v>
      </c>
      <c r="F31" s="268" t="str">
        <f>'Materials Procurement Plan'!B9</f>
        <v>STRUCTURAL STEEL</v>
      </c>
      <c r="G31" s="26"/>
      <c r="H31" s="27"/>
      <c r="I31" s="27"/>
      <c r="J31" s="27"/>
      <c r="K31" s="27"/>
      <c r="L31" s="27"/>
      <c r="M31" s="538" t="s">
        <v>832</v>
      </c>
    </row>
    <row r="32" spans="1:13">
      <c r="A32" s="54"/>
      <c r="B32" s="54"/>
      <c r="C32" s="299"/>
      <c r="D32" s="303"/>
      <c r="E32" s="270"/>
      <c r="F32" s="271"/>
      <c r="G32" s="29"/>
      <c r="H32" s="30"/>
      <c r="I32" s="30"/>
      <c r="J32" s="30"/>
      <c r="K32" s="30"/>
      <c r="L32" s="30"/>
      <c r="M32" s="538" t="s">
        <v>813</v>
      </c>
    </row>
    <row r="33" spans="1:13" ht="16.5" thickBot="1">
      <c r="A33" s="54"/>
      <c r="B33" s="54"/>
      <c r="C33" s="299"/>
      <c r="D33" s="303"/>
      <c r="E33" s="272"/>
      <c r="F33" s="262"/>
      <c r="G33" s="31"/>
      <c r="H33" s="32"/>
      <c r="I33" s="32"/>
      <c r="J33" s="32"/>
      <c r="K33" s="32"/>
      <c r="L33" s="32"/>
    </row>
    <row r="34" spans="1:13" s="28" customFormat="1" ht="14.25" customHeight="1">
      <c r="A34" s="54"/>
      <c r="B34" s="54"/>
      <c r="C34" s="299"/>
      <c r="D34" s="303"/>
      <c r="E34" s="273" t="s">
        <v>75</v>
      </c>
      <c r="F34" s="263"/>
      <c r="G34" s="600" t="s">
        <v>825</v>
      </c>
      <c r="H34" s="615"/>
      <c r="I34" s="601" t="s">
        <v>820</v>
      </c>
      <c r="J34" s="602"/>
      <c r="K34" s="546" t="s">
        <v>815</v>
      </c>
      <c r="L34" s="546"/>
      <c r="M34" s="539"/>
    </row>
    <row r="35" spans="1:13">
      <c r="A35" s="54"/>
      <c r="B35" s="54"/>
      <c r="C35" s="299"/>
      <c r="D35" s="303"/>
      <c r="E35" s="274"/>
      <c r="F35" s="275" t="s">
        <v>85</v>
      </c>
      <c r="G35" s="149"/>
      <c r="H35" s="548"/>
      <c r="I35" s="551"/>
      <c r="J35" s="548"/>
      <c r="K35" s="150"/>
      <c r="L35" s="150"/>
    </row>
    <row r="36" spans="1:13">
      <c r="A36" s="54"/>
      <c r="B36" s="54"/>
      <c r="C36" s="299"/>
      <c r="D36" s="303"/>
      <c r="E36" s="273"/>
      <c r="F36" s="263" t="s">
        <v>140</v>
      </c>
      <c r="G36" s="34">
        <v>4.3899999999999997</v>
      </c>
      <c r="H36" s="547" t="s">
        <v>255</v>
      </c>
      <c r="I36" s="553">
        <f>(K36*2000)/490</f>
        <v>17.918367346938776</v>
      </c>
      <c r="J36" s="547" t="s">
        <v>826</v>
      </c>
      <c r="K36" s="34">
        <v>4.3899999999999997</v>
      </c>
      <c r="L36" s="35" t="s">
        <v>255</v>
      </c>
    </row>
    <row r="37" spans="1:13">
      <c r="A37" s="54"/>
      <c r="B37" s="54"/>
      <c r="C37" s="299"/>
      <c r="D37" s="303"/>
      <c r="E37" s="273"/>
      <c r="F37" s="263" t="s">
        <v>142</v>
      </c>
      <c r="G37" s="34">
        <v>44</v>
      </c>
      <c r="H37" s="547" t="s">
        <v>89</v>
      </c>
      <c r="I37" s="555"/>
      <c r="J37" s="552"/>
      <c r="K37" s="544"/>
      <c r="L37" s="542"/>
    </row>
    <row r="38" spans="1:13">
      <c r="A38" s="54"/>
      <c r="B38" s="54"/>
      <c r="C38" s="299"/>
      <c r="D38" s="303"/>
      <c r="E38" s="273"/>
      <c r="F38" s="263" t="s">
        <v>143</v>
      </c>
      <c r="G38" s="34">
        <v>88</v>
      </c>
      <c r="H38" s="547" t="s">
        <v>89</v>
      </c>
      <c r="I38" s="555"/>
      <c r="J38" s="552"/>
      <c r="K38" s="544"/>
      <c r="L38" s="542"/>
    </row>
    <row r="39" spans="1:13">
      <c r="A39" s="54"/>
      <c r="B39" s="54"/>
      <c r="C39" s="299"/>
      <c r="D39" s="303"/>
      <c r="E39" s="273"/>
      <c r="F39" s="263" t="s">
        <v>144</v>
      </c>
      <c r="G39" s="34">
        <v>4.34</v>
      </c>
      <c r="H39" s="547" t="s">
        <v>255</v>
      </c>
      <c r="I39" s="553">
        <f t="shared" ref="I39:I45" si="0">(K39*2000)/490</f>
        <v>17.714285714285715</v>
      </c>
      <c r="J39" s="547" t="s">
        <v>826</v>
      </c>
      <c r="K39" s="34">
        <v>4.34</v>
      </c>
      <c r="L39" s="35" t="s">
        <v>255</v>
      </c>
    </row>
    <row r="40" spans="1:13">
      <c r="A40" s="54"/>
      <c r="B40" s="54"/>
      <c r="C40" s="299"/>
      <c r="D40" s="303"/>
      <c r="E40" s="273"/>
      <c r="F40" s="263" t="s">
        <v>145</v>
      </c>
      <c r="G40" s="34">
        <v>31</v>
      </c>
      <c r="H40" s="35" t="s">
        <v>89</v>
      </c>
      <c r="I40" s="556"/>
      <c r="J40" s="552"/>
      <c r="K40" s="544"/>
      <c r="L40" s="542"/>
    </row>
    <row r="41" spans="1:13">
      <c r="A41" s="54"/>
      <c r="B41" s="54"/>
      <c r="C41" s="299"/>
      <c r="D41" s="303"/>
      <c r="E41" s="273"/>
      <c r="F41" s="263" t="s">
        <v>146</v>
      </c>
      <c r="G41" s="34">
        <v>39.46</v>
      </c>
      <c r="H41" s="547" t="s">
        <v>255</v>
      </c>
      <c r="I41" s="553">
        <f t="shared" si="0"/>
        <v>161.0612244897959</v>
      </c>
      <c r="J41" s="547" t="s">
        <v>826</v>
      </c>
      <c r="K41" s="34">
        <v>39.46</v>
      </c>
      <c r="L41" s="35" t="s">
        <v>255</v>
      </c>
    </row>
    <row r="42" spans="1:13">
      <c r="A42" s="54"/>
      <c r="B42" s="54"/>
      <c r="C42" s="299"/>
      <c r="D42" s="303"/>
      <c r="E42" s="273"/>
      <c r="F42" s="263" t="s">
        <v>147</v>
      </c>
      <c r="G42" s="34">
        <v>66</v>
      </c>
      <c r="H42" s="547" t="s">
        <v>89</v>
      </c>
      <c r="I42" s="555"/>
      <c r="J42" s="552"/>
      <c r="K42" s="544"/>
      <c r="L42" s="542"/>
    </row>
    <row r="43" spans="1:13" ht="30">
      <c r="A43" s="54"/>
      <c r="B43" s="54"/>
      <c r="C43" s="299"/>
      <c r="D43" s="303"/>
      <c r="E43" s="273"/>
      <c r="F43" s="263" t="s">
        <v>148</v>
      </c>
      <c r="G43" s="34">
        <v>64</v>
      </c>
      <c r="H43" s="547" t="s">
        <v>112</v>
      </c>
      <c r="I43" s="553">
        <f t="shared" si="0"/>
        <v>24.489795918367346</v>
      </c>
      <c r="J43" s="547" t="s">
        <v>826</v>
      </c>
      <c r="K43" s="34">
        <v>6</v>
      </c>
      <c r="L43" s="35" t="s">
        <v>255</v>
      </c>
    </row>
    <row r="44" spans="1:13">
      <c r="A44" s="54"/>
      <c r="B44" s="54"/>
      <c r="C44" s="299"/>
      <c r="D44" s="303"/>
      <c r="E44" s="273"/>
      <c r="F44" s="263" t="s">
        <v>149</v>
      </c>
      <c r="G44" s="34">
        <v>24</v>
      </c>
      <c r="H44" s="547" t="s">
        <v>112</v>
      </c>
      <c r="I44" s="553">
        <f t="shared" si="0"/>
        <v>4.0816326530612246</v>
      </c>
      <c r="J44" s="547" t="s">
        <v>826</v>
      </c>
      <c r="K44" s="34">
        <v>1</v>
      </c>
      <c r="L44" s="35" t="s">
        <v>255</v>
      </c>
    </row>
    <row r="45" spans="1:13">
      <c r="A45" s="54"/>
      <c r="B45" s="54"/>
      <c r="C45" s="299"/>
      <c r="D45" s="303"/>
      <c r="E45" s="273"/>
      <c r="F45" s="263" t="s">
        <v>150</v>
      </c>
      <c r="G45" s="34">
        <v>35800</v>
      </c>
      <c r="H45" s="547" t="s">
        <v>87</v>
      </c>
      <c r="I45" s="553">
        <f t="shared" si="0"/>
        <v>2448.9795918367345</v>
      </c>
      <c r="J45" s="547" t="s">
        <v>826</v>
      </c>
      <c r="K45" s="34">
        <v>600</v>
      </c>
      <c r="L45" s="35" t="s">
        <v>255</v>
      </c>
    </row>
    <row r="46" spans="1:13">
      <c r="A46" s="54"/>
      <c r="B46" s="54"/>
      <c r="C46" s="299"/>
      <c r="D46" s="303"/>
      <c r="E46" s="273"/>
      <c r="F46" s="263" t="s">
        <v>151</v>
      </c>
      <c r="G46" s="34">
        <v>1</v>
      </c>
      <c r="H46" s="547" t="s">
        <v>89</v>
      </c>
      <c r="I46" s="544"/>
      <c r="J46" s="552"/>
      <c r="K46" s="544"/>
      <c r="L46" s="542"/>
    </row>
    <row r="47" spans="1:13">
      <c r="A47" s="54"/>
      <c r="B47" s="54"/>
      <c r="C47" s="299"/>
      <c r="D47" s="303"/>
      <c r="E47" s="273"/>
      <c r="F47" s="263" t="s">
        <v>152</v>
      </c>
      <c r="G47" s="34">
        <v>1</v>
      </c>
      <c r="H47" s="547" t="s">
        <v>89</v>
      </c>
      <c r="I47" s="544"/>
      <c r="J47" s="552"/>
      <c r="K47" s="544"/>
      <c r="L47" s="542"/>
    </row>
    <row r="48" spans="1:13">
      <c r="A48" s="54"/>
      <c r="B48" s="54"/>
      <c r="C48" s="299"/>
      <c r="D48" s="303"/>
      <c r="E48" s="273"/>
      <c r="F48" s="263" t="s">
        <v>153</v>
      </c>
      <c r="G48" s="34">
        <v>10</v>
      </c>
      <c r="H48" s="547" t="s">
        <v>89</v>
      </c>
      <c r="I48" s="544"/>
      <c r="J48" s="552"/>
      <c r="K48" s="544"/>
      <c r="L48" s="542"/>
    </row>
    <row r="49" spans="1:18">
      <c r="A49" s="54"/>
      <c r="B49" s="54"/>
      <c r="C49" s="299"/>
      <c r="D49" s="303"/>
      <c r="E49" s="273"/>
      <c r="F49" s="263" t="s">
        <v>154</v>
      </c>
      <c r="G49" s="34">
        <v>16</v>
      </c>
      <c r="H49" s="547" t="s">
        <v>112</v>
      </c>
      <c r="I49" s="553">
        <v>1.5918000000000001</v>
      </c>
      <c r="J49" s="547" t="s">
        <v>826</v>
      </c>
      <c r="K49" s="34">
        <v>780</v>
      </c>
      <c r="L49" s="35" t="s">
        <v>818</v>
      </c>
    </row>
    <row r="50" spans="1:18">
      <c r="A50" s="54"/>
      <c r="B50" s="54"/>
      <c r="C50" s="299"/>
      <c r="D50" s="303"/>
      <c r="E50" s="273"/>
      <c r="F50" s="263" t="s">
        <v>155</v>
      </c>
      <c r="G50" s="34">
        <v>35</v>
      </c>
      <c r="H50" s="547" t="s">
        <v>112</v>
      </c>
      <c r="I50" s="553">
        <v>2.448</v>
      </c>
      <c r="J50" s="547" t="s">
        <v>826</v>
      </c>
      <c r="K50" s="34">
        <v>1200</v>
      </c>
      <c r="L50" s="35" t="s">
        <v>818</v>
      </c>
    </row>
    <row r="51" spans="1:18">
      <c r="A51" s="54"/>
      <c r="B51" s="54"/>
      <c r="C51" s="299"/>
      <c r="D51" s="303"/>
      <c r="E51" s="273"/>
      <c r="F51" s="263" t="s">
        <v>156</v>
      </c>
      <c r="G51" s="34">
        <v>10</v>
      </c>
      <c r="H51" s="547" t="s">
        <v>89</v>
      </c>
      <c r="I51" s="544"/>
      <c r="J51" s="552"/>
      <c r="K51" s="544"/>
      <c r="L51" s="542"/>
    </row>
    <row r="52" spans="1:18">
      <c r="A52" s="54"/>
      <c r="B52" s="54"/>
      <c r="C52" s="299"/>
      <c r="D52" s="303"/>
      <c r="E52" s="273"/>
      <c r="F52" s="263" t="s">
        <v>157</v>
      </c>
      <c r="G52" s="34">
        <v>144</v>
      </c>
      <c r="H52" s="547" t="s">
        <v>112</v>
      </c>
      <c r="I52" s="553">
        <v>1.4285000000000001</v>
      </c>
      <c r="J52" s="547" t="s">
        <v>826</v>
      </c>
      <c r="K52" s="34">
        <v>700</v>
      </c>
      <c r="L52" s="35" t="s">
        <v>818</v>
      </c>
    </row>
    <row r="53" spans="1:18">
      <c r="A53" s="54"/>
      <c r="B53" s="54"/>
      <c r="C53" s="299"/>
      <c r="D53" s="303"/>
      <c r="E53" s="273"/>
      <c r="F53" s="263" t="s">
        <v>158</v>
      </c>
      <c r="G53" s="34">
        <v>175</v>
      </c>
      <c r="H53" s="547" t="s">
        <v>112</v>
      </c>
      <c r="I53" s="553">
        <v>1.7551000000000001</v>
      </c>
      <c r="J53" s="547" t="s">
        <v>826</v>
      </c>
      <c r="K53" s="34">
        <v>860</v>
      </c>
      <c r="L53" s="35" t="s">
        <v>818</v>
      </c>
    </row>
    <row r="54" spans="1:18">
      <c r="A54" s="54"/>
      <c r="B54" s="54"/>
      <c r="C54" s="299"/>
      <c r="D54" s="303"/>
      <c r="E54" s="273"/>
      <c r="F54" s="263" t="s">
        <v>159</v>
      </c>
      <c r="G54" s="34">
        <v>3</v>
      </c>
      <c r="H54" s="547" t="s">
        <v>89</v>
      </c>
      <c r="I54" s="544"/>
      <c r="J54" s="552"/>
      <c r="K54" s="544"/>
      <c r="L54" s="542"/>
    </row>
    <row r="55" spans="1:18">
      <c r="A55" s="54"/>
      <c r="B55" s="54"/>
      <c r="C55" s="299"/>
      <c r="D55" s="303"/>
      <c r="E55" s="273"/>
      <c r="F55" s="263" t="s">
        <v>160</v>
      </c>
      <c r="G55" s="34">
        <v>4</v>
      </c>
      <c r="H55" s="547" t="s">
        <v>89</v>
      </c>
      <c r="I55" s="544"/>
      <c r="J55" s="552"/>
      <c r="K55" s="544"/>
      <c r="L55" s="542"/>
    </row>
    <row r="56" spans="1:18">
      <c r="A56" s="54"/>
      <c r="B56" s="54"/>
      <c r="C56" s="299"/>
      <c r="D56" s="303"/>
      <c r="E56" s="273"/>
      <c r="F56" s="263" t="s">
        <v>162</v>
      </c>
      <c r="G56" s="34">
        <v>1</v>
      </c>
      <c r="H56" s="547" t="s">
        <v>89</v>
      </c>
      <c r="I56" s="544"/>
      <c r="J56" s="552"/>
      <c r="K56" s="544"/>
      <c r="L56" s="542"/>
      <c r="Q56" s="12"/>
      <c r="R56" s="12"/>
    </row>
    <row r="57" spans="1:18">
      <c r="A57" s="54"/>
      <c r="B57" s="54"/>
      <c r="C57" s="299"/>
      <c r="D57" s="303"/>
      <c r="E57" s="273"/>
      <c r="F57" s="263" t="s">
        <v>164</v>
      </c>
      <c r="G57" s="34">
        <v>327</v>
      </c>
      <c r="H57" s="547" t="s">
        <v>112</v>
      </c>
      <c r="I57" s="553">
        <f>K57/490</f>
        <v>3.2653061224489797</v>
      </c>
      <c r="J57" s="547" t="s">
        <v>826</v>
      </c>
      <c r="K57" s="34">
        <v>1600</v>
      </c>
      <c r="L57" s="35" t="s">
        <v>818</v>
      </c>
      <c r="Q57" s="12"/>
      <c r="R57" s="12"/>
    </row>
    <row r="58" spans="1:18">
      <c r="A58" s="54"/>
      <c r="B58" s="54"/>
      <c r="C58" s="299"/>
      <c r="D58" s="303"/>
      <c r="E58" s="273"/>
      <c r="F58" s="263" t="s">
        <v>165</v>
      </c>
      <c r="G58" s="34">
        <v>34</v>
      </c>
      <c r="H58" s="547" t="s">
        <v>112</v>
      </c>
      <c r="I58" s="553">
        <f t="shared" ref="I58:I65" si="1">K58/490</f>
        <v>0.32653061224489793</v>
      </c>
      <c r="J58" s="547" t="s">
        <v>826</v>
      </c>
      <c r="K58" s="34">
        <v>160</v>
      </c>
      <c r="L58" s="35" t="s">
        <v>818</v>
      </c>
      <c r="Q58" s="12"/>
      <c r="R58" s="12"/>
    </row>
    <row r="59" spans="1:18">
      <c r="A59" s="54"/>
      <c r="B59" s="54"/>
      <c r="C59" s="299"/>
      <c r="D59" s="303"/>
      <c r="E59" s="273"/>
      <c r="F59" s="263" t="s">
        <v>166</v>
      </c>
      <c r="G59" s="34">
        <v>20</v>
      </c>
      <c r="H59" s="547" t="s">
        <v>112</v>
      </c>
      <c r="I59" s="553">
        <f t="shared" si="1"/>
        <v>0.20408163265306123</v>
      </c>
      <c r="J59" s="547" t="s">
        <v>826</v>
      </c>
      <c r="K59" s="34">
        <v>100</v>
      </c>
      <c r="L59" s="35" t="s">
        <v>818</v>
      </c>
      <c r="Q59" s="12"/>
      <c r="R59" s="12"/>
    </row>
    <row r="60" spans="1:18">
      <c r="A60" s="54"/>
      <c r="B60" s="54"/>
      <c r="C60" s="299"/>
      <c r="D60" s="303"/>
      <c r="E60" s="273"/>
      <c r="F60" s="263" t="s">
        <v>167</v>
      </c>
      <c r="G60" s="34">
        <v>90</v>
      </c>
      <c r="H60" s="547" t="s">
        <v>112</v>
      </c>
      <c r="I60" s="553">
        <f t="shared" si="1"/>
        <v>0.89795918367346939</v>
      </c>
      <c r="J60" s="547" t="s">
        <v>826</v>
      </c>
      <c r="K60" s="34">
        <v>440</v>
      </c>
      <c r="L60" s="35" t="s">
        <v>818</v>
      </c>
      <c r="Q60" s="12"/>
      <c r="R60" s="12"/>
    </row>
    <row r="61" spans="1:18">
      <c r="A61" s="54"/>
      <c r="B61" s="54"/>
      <c r="C61" s="299"/>
      <c r="D61" s="303"/>
      <c r="E61" s="273"/>
      <c r="F61" s="263" t="s">
        <v>168</v>
      </c>
      <c r="G61" s="34">
        <v>46</v>
      </c>
      <c r="H61" s="547" t="s">
        <v>112</v>
      </c>
      <c r="I61" s="553">
        <f t="shared" si="1"/>
        <v>0.45918367346938777</v>
      </c>
      <c r="J61" s="547" t="s">
        <v>826</v>
      </c>
      <c r="K61" s="34">
        <v>225</v>
      </c>
      <c r="L61" s="35" t="s">
        <v>818</v>
      </c>
      <c r="Q61" s="12"/>
      <c r="R61" s="12"/>
    </row>
    <row r="62" spans="1:18">
      <c r="A62" s="54"/>
      <c r="B62" s="54"/>
      <c r="C62" s="299"/>
      <c r="D62" s="303"/>
      <c r="E62" s="273"/>
      <c r="F62" s="263" t="s">
        <v>169</v>
      </c>
      <c r="G62" s="34">
        <v>80</v>
      </c>
      <c r="H62" s="547" t="s">
        <v>112</v>
      </c>
      <c r="I62" s="553">
        <f t="shared" si="1"/>
        <v>0.81632653061224492</v>
      </c>
      <c r="J62" s="547" t="s">
        <v>826</v>
      </c>
      <c r="K62" s="34">
        <v>400</v>
      </c>
      <c r="L62" s="35" t="s">
        <v>818</v>
      </c>
      <c r="Q62" s="12"/>
      <c r="R62" s="12"/>
    </row>
    <row r="63" spans="1:18">
      <c r="A63" s="54"/>
      <c r="B63" s="54"/>
      <c r="C63" s="299"/>
      <c r="D63" s="303"/>
      <c r="E63" s="273"/>
      <c r="F63" s="263" t="s">
        <v>170</v>
      </c>
      <c r="G63" s="34">
        <v>300</v>
      </c>
      <c r="H63" s="547" t="s">
        <v>112</v>
      </c>
      <c r="I63" s="553">
        <f t="shared" si="1"/>
        <v>3</v>
      </c>
      <c r="J63" s="547" t="s">
        <v>826</v>
      </c>
      <c r="K63" s="34">
        <v>1470</v>
      </c>
      <c r="L63" s="35" t="s">
        <v>818</v>
      </c>
      <c r="Q63" s="12"/>
      <c r="R63" s="12"/>
    </row>
    <row r="64" spans="1:18">
      <c r="A64" s="54"/>
      <c r="B64" s="54"/>
      <c r="C64" s="299"/>
      <c r="D64" s="303"/>
      <c r="E64" s="273"/>
      <c r="F64" s="263" t="s">
        <v>171</v>
      </c>
      <c r="G64" s="34">
        <v>20</v>
      </c>
      <c r="H64" s="547" t="s">
        <v>112</v>
      </c>
      <c r="I64" s="553">
        <f t="shared" si="1"/>
        <v>0.2</v>
      </c>
      <c r="J64" s="547" t="s">
        <v>826</v>
      </c>
      <c r="K64" s="34">
        <v>98</v>
      </c>
      <c r="L64" s="35" t="s">
        <v>818</v>
      </c>
      <c r="Q64" s="12"/>
      <c r="R64" s="12"/>
    </row>
    <row r="65" spans="1:18">
      <c r="A65" s="54"/>
      <c r="B65" s="54"/>
      <c r="C65" s="299"/>
      <c r="D65" s="303"/>
      <c r="E65" s="273"/>
      <c r="F65" s="263" t="s">
        <v>172</v>
      </c>
      <c r="G65" s="34">
        <v>80</v>
      </c>
      <c r="H65" s="547" t="s">
        <v>112</v>
      </c>
      <c r="I65" s="553">
        <f t="shared" si="1"/>
        <v>0.81632653061224492</v>
      </c>
      <c r="J65" s="547" t="s">
        <v>826</v>
      </c>
      <c r="K65" s="34">
        <v>400</v>
      </c>
      <c r="L65" s="35" t="s">
        <v>818</v>
      </c>
      <c r="Q65" s="12"/>
      <c r="R65" s="12"/>
    </row>
    <row r="66" spans="1:18">
      <c r="A66" s="54"/>
      <c r="B66" s="54"/>
      <c r="C66" s="299"/>
      <c r="D66" s="303"/>
      <c r="E66" s="273"/>
      <c r="F66" s="263" t="s">
        <v>173</v>
      </c>
      <c r="G66" s="34">
        <v>2</v>
      </c>
      <c r="H66" s="547" t="s">
        <v>255</v>
      </c>
      <c r="I66" s="553">
        <f>(K66*2000)/490</f>
        <v>8.1632653061224492</v>
      </c>
      <c r="J66" s="547" t="s">
        <v>826</v>
      </c>
      <c r="K66" s="34">
        <v>2</v>
      </c>
      <c r="L66" s="35" t="s">
        <v>255</v>
      </c>
      <c r="Q66" s="12"/>
      <c r="R66" s="12"/>
    </row>
    <row r="67" spans="1:18">
      <c r="A67" s="54"/>
      <c r="B67" s="54"/>
      <c r="C67" s="299"/>
      <c r="D67" s="303"/>
      <c r="E67" s="273"/>
      <c r="F67" s="263" t="s">
        <v>175</v>
      </c>
      <c r="G67" s="34">
        <v>1</v>
      </c>
      <c r="H67" s="547" t="s">
        <v>92</v>
      </c>
      <c r="I67" s="553">
        <f>(K67*2000)/490</f>
        <v>4.0816326530612246</v>
      </c>
      <c r="J67" s="547" t="s">
        <v>826</v>
      </c>
      <c r="K67" s="34">
        <v>1</v>
      </c>
      <c r="L67" s="35" t="s">
        <v>263</v>
      </c>
      <c r="Q67" s="12"/>
      <c r="R67" s="12"/>
    </row>
    <row r="68" spans="1:18">
      <c r="A68" s="54"/>
      <c r="B68" s="54"/>
      <c r="C68" s="299"/>
      <c r="D68" s="303"/>
      <c r="E68" s="273"/>
      <c r="F68" s="263" t="s">
        <v>176</v>
      </c>
      <c r="G68" s="34">
        <v>1</v>
      </c>
      <c r="H68" s="547" t="s">
        <v>89</v>
      </c>
      <c r="I68" s="544"/>
      <c r="J68" s="552"/>
      <c r="K68" s="544"/>
      <c r="L68" s="542"/>
      <c r="Q68" s="12"/>
      <c r="R68" s="12"/>
    </row>
    <row r="69" spans="1:18">
      <c r="A69" s="54"/>
      <c r="B69" s="54"/>
      <c r="C69" s="299"/>
      <c r="D69" s="303"/>
      <c r="E69" s="273"/>
      <c r="F69" s="263" t="s">
        <v>177</v>
      </c>
      <c r="G69" s="34">
        <v>1</v>
      </c>
      <c r="H69" s="547" t="s">
        <v>89</v>
      </c>
      <c r="I69" s="544"/>
      <c r="J69" s="552"/>
      <c r="K69" s="544"/>
      <c r="L69" s="542"/>
      <c r="Q69" s="12"/>
      <c r="R69" s="12"/>
    </row>
    <row r="70" spans="1:18">
      <c r="A70" s="54"/>
      <c r="B70" s="54"/>
      <c r="C70" s="299"/>
      <c r="D70" s="303"/>
      <c r="E70" s="273"/>
      <c r="F70" s="263" t="s">
        <v>178</v>
      </c>
      <c r="G70" s="34">
        <v>1</v>
      </c>
      <c r="H70" s="547" t="s">
        <v>89</v>
      </c>
      <c r="I70" s="544"/>
      <c r="J70" s="552"/>
      <c r="K70" s="544"/>
      <c r="L70" s="542"/>
      <c r="Q70" s="12"/>
      <c r="R70" s="12"/>
    </row>
    <row r="71" spans="1:18">
      <c r="A71" s="54"/>
      <c r="B71" s="54"/>
      <c r="C71" s="299"/>
      <c r="D71" s="303"/>
      <c r="E71" s="273"/>
      <c r="F71" s="263" t="s">
        <v>179</v>
      </c>
      <c r="G71" s="34">
        <v>21</v>
      </c>
      <c r="H71" s="547" t="s">
        <v>112</v>
      </c>
      <c r="I71" s="553">
        <f>K71/490</f>
        <v>0.20408163265306123</v>
      </c>
      <c r="J71" s="547" t="s">
        <v>826</v>
      </c>
      <c r="K71" s="34">
        <v>100</v>
      </c>
      <c r="L71" s="35" t="s">
        <v>818</v>
      </c>
      <c r="Q71" s="12"/>
      <c r="R71" s="12"/>
    </row>
    <row r="72" spans="1:18">
      <c r="A72" s="54"/>
      <c r="B72" s="54"/>
      <c r="C72" s="299"/>
      <c r="D72" s="303"/>
      <c r="E72" s="282"/>
      <c r="F72" s="285" t="s">
        <v>180</v>
      </c>
      <c r="G72" s="284">
        <v>1</v>
      </c>
      <c r="H72" s="568" t="s">
        <v>92</v>
      </c>
      <c r="I72" s="579">
        <f>(K72*2000)/490</f>
        <v>4.0816326530612246</v>
      </c>
      <c r="J72" s="568" t="s">
        <v>826</v>
      </c>
      <c r="K72" s="284">
        <v>1</v>
      </c>
      <c r="L72" s="287" t="s">
        <v>263</v>
      </c>
      <c r="Q72" s="12"/>
      <c r="R72" s="12"/>
    </row>
    <row r="73" spans="1:18">
      <c r="A73" s="54"/>
      <c r="B73" s="54"/>
      <c r="C73" s="299"/>
      <c r="D73" s="303"/>
      <c r="E73" s="273"/>
      <c r="F73" s="605" t="s">
        <v>833</v>
      </c>
      <c r="G73" s="605"/>
      <c r="H73" s="606"/>
      <c r="I73" s="570"/>
      <c r="J73" s="567"/>
      <c r="K73" s="571"/>
      <c r="L73" s="567"/>
      <c r="Q73" s="12"/>
      <c r="R73" s="12"/>
    </row>
    <row r="74" spans="1:18" ht="16.5" thickBot="1">
      <c r="A74" s="54"/>
      <c r="B74" s="54"/>
      <c r="C74" s="299"/>
      <c r="D74" s="303"/>
      <c r="E74" s="269"/>
      <c r="F74" s="261"/>
      <c r="I74" s="22"/>
      <c r="J74" s="22"/>
      <c r="Q74" s="12"/>
      <c r="R74" s="12"/>
    </row>
    <row r="75" spans="1:18">
      <c r="A75" s="54"/>
      <c r="B75" s="54"/>
      <c r="C75" s="299"/>
      <c r="D75" s="303"/>
      <c r="E75" s="267">
        <v>6</v>
      </c>
      <c r="F75" s="268" t="str">
        <f>'Materials Procurement Plan'!B10</f>
        <v>WOOD STRUCTURE</v>
      </c>
      <c r="G75" s="26"/>
      <c r="H75" s="27"/>
      <c r="I75" s="27"/>
      <c r="J75" s="27"/>
      <c r="K75" s="27"/>
      <c r="L75" s="27"/>
      <c r="M75" s="541" t="s">
        <v>808</v>
      </c>
      <c r="Q75" s="12"/>
      <c r="R75" s="12"/>
    </row>
    <row r="76" spans="1:18" ht="15.75" customHeight="1">
      <c r="A76" s="54"/>
      <c r="B76" s="54"/>
      <c r="C76" s="299"/>
      <c r="D76" s="303"/>
      <c r="E76" s="270"/>
      <c r="F76" s="271"/>
      <c r="G76" s="29"/>
      <c r="H76" s="30"/>
      <c r="I76" s="30"/>
      <c r="J76" s="30"/>
      <c r="K76" s="30"/>
      <c r="L76" s="30"/>
      <c r="M76" s="610" t="s">
        <v>814</v>
      </c>
      <c r="Q76" s="12"/>
      <c r="R76" s="12"/>
    </row>
    <row r="77" spans="1:18" ht="41.25" customHeight="1" thickBot="1">
      <c r="A77" s="54"/>
      <c r="B77" s="54"/>
      <c r="C77" s="299"/>
      <c r="D77" s="303"/>
      <c r="E77" s="272"/>
      <c r="F77" s="262"/>
      <c r="G77" s="31"/>
      <c r="H77" s="32"/>
      <c r="I77" s="32"/>
      <c r="J77" s="32"/>
      <c r="K77" s="32"/>
      <c r="L77" s="32"/>
      <c r="M77" s="610"/>
      <c r="Q77" s="12"/>
      <c r="R77" s="12"/>
    </row>
    <row r="78" spans="1:18" ht="16.5" customHeight="1">
      <c r="A78" s="54"/>
      <c r="B78" s="54"/>
      <c r="C78" s="299"/>
      <c r="D78" s="303"/>
      <c r="E78" s="273" t="s">
        <v>75</v>
      </c>
      <c r="F78" s="263"/>
      <c r="G78" s="600" t="s">
        <v>825</v>
      </c>
      <c r="H78" s="600"/>
      <c r="I78" s="601" t="s">
        <v>820</v>
      </c>
      <c r="J78" s="602"/>
      <c r="K78" s="546" t="s">
        <v>815</v>
      </c>
      <c r="L78" s="546"/>
      <c r="Q78" s="12"/>
      <c r="R78" s="12"/>
    </row>
    <row r="79" spans="1:18">
      <c r="A79" s="54"/>
      <c r="B79" s="54"/>
      <c r="C79" s="299"/>
      <c r="D79" s="303"/>
      <c r="E79" s="274"/>
      <c r="F79" s="275" t="s">
        <v>85</v>
      </c>
      <c r="G79" s="149"/>
      <c r="H79" s="150"/>
      <c r="I79" s="551"/>
      <c r="J79" s="548"/>
      <c r="K79" s="150"/>
      <c r="L79" s="150"/>
      <c r="Q79" s="12"/>
      <c r="R79" s="12"/>
    </row>
    <row r="80" spans="1:18">
      <c r="A80" s="54"/>
      <c r="B80" s="54"/>
      <c r="C80" s="299"/>
      <c r="D80" s="303"/>
      <c r="E80" s="273" t="s">
        <v>75</v>
      </c>
      <c r="F80" s="263" t="s">
        <v>185</v>
      </c>
      <c r="G80" s="34">
        <v>120</v>
      </c>
      <c r="H80" s="35" t="s">
        <v>87</v>
      </c>
      <c r="I80" s="558">
        <f>(K80*2000)/85</f>
        <v>30.588235294117649</v>
      </c>
      <c r="J80" s="549" t="s">
        <v>826</v>
      </c>
      <c r="K80" s="35">
        <v>1.3</v>
      </c>
      <c r="L80" s="35" t="s">
        <v>255</v>
      </c>
      <c r="Q80" s="12"/>
      <c r="R80" s="12"/>
    </row>
    <row r="81" spans="1:18">
      <c r="A81" s="54"/>
      <c r="B81" s="54"/>
      <c r="C81" s="299"/>
      <c r="D81" s="303"/>
      <c r="E81" s="273" t="s">
        <v>75</v>
      </c>
      <c r="F81" s="263" t="s">
        <v>186</v>
      </c>
      <c r="G81" s="34">
        <v>18683</v>
      </c>
      <c r="H81" s="35" t="s">
        <v>87</v>
      </c>
      <c r="I81" s="557">
        <f>(K81*2000)/85</f>
        <v>4941.1764705882351</v>
      </c>
      <c r="J81" s="549" t="s">
        <v>826</v>
      </c>
      <c r="K81" s="35">
        <v>210</v>
      </c>
      <c r="L81" s="35" t="s">
        <v>255</v>
      </c>
      <c r="Q81" s="12"/>
      <c r="R81" s="12"/>
    </row>
    <row r="82" spans="1:18">
      <c r="A82" s="54"/>
      <c r="B82" s="54"/>
      <c r="C82" s="299"/>
      <c r="D82" s="303"/>
      <c r="E82" s="273" t="s">
        <v>75</v>
      </c>
      <c r="F82" s="263" t="s">
        <v>188</v>
      </c>
      <c r="G82" s="34">
        <v>29525</v>
      </c>
      <c r="H82" s="35" t="s">
        <v>87</v>
      </c>
      <c r="I82" s="557">
        <f t="shared" ref="I82:I88" si="2">(K82*2000)/85</f>
        <v>7764.7058823529414</v>
      </c>
      <c r="J82" s="549" t="s">
        <v>826</v>
      </c>
      <c r="K82" s="35">
        <v>330</v>
      </c>
      <c r="L82" s="35" t="s">
        <v>255</v>
      </c>
      <c r="Q82" s="12"/>
      <c r="R82" s="12"/>
    </row>
    <row r="83" spans="1:18">
      <c r="A83" s="54"/>
      <c r="B83" s="54"/>
      <c r="C83" s="299"/>
      <c r="D83" s="303"/>
      <c r="E83" s="273" t="s">
        <v>75</v>
      </c>
      <c r="F83" s="263" t="s">
        <v>189</v>
      </c>
      <c r="G83" s="34">
        <v>29525</v>
      </c>
      <c r="H83" s="35" t="s">
        <v>87</v>
      </c>
      <c r="I83" s="557">
        <f t="shared" si="2"/>
        <v>1294.1176470588234</v>
      </c>
      <c r="J83" s="549" t="s">
        <v>826</v>
      </c>
      <c r="K83" s="35">
        <v>55</v>
      </c>
      <c r="L83" s="35" t="s">
        <v>255</v>
      </c>
      <c r="Q83" s="12"/>
      <c r="R83" s="12"/>
    </row>
    <row r="84" spans="1:18">
      <c r="A84" s="54"/>
      <c r="B84" s="54"/>
      <c r="C84" s="299"/>
      <c r="D84" s="303"/>
      <c r="E84" s="273" t="s">
        <v>75</v>
      </c>
      <c r="F84" s="263" t="s">
        <v>190</v>
      </c>
      <c r="G84" s="34">
        <v>445</v>
      </c>
      <c r="H84" s="35" t="s">
        <v>87</v>
      </c>
      <c r="I84" s="557">
        <f t="shared" si="2"/>
        <v>117.64705882352941</v>
      </c>
      <c r="J84" s="549" t="s">
        <v>826</v>
      </c>
      <c r="K84" s="35">
        <v>5</v>
      </c>
      <c r="L84" s="35" t="s">
        <v>255</v>
      </c>
      <c r="Q84" s="12"/>
      <c r="R84" s="12"/>
    </row>
    <row r="85" spans="1:18">
      <c r="A85" s="54"/>
      <c r="B85" s="54"/>
      <c r="C85" s="299"/>
      <c r="D85" s="303"/>
      <c r="E85" s="273" t="s">
        <v>75</v>
      </c>
      <c r="F85" s="263" t="s">
        <v>191</v>
      </c>
      <c r="G85" s="34">
        <v>9440</v>
      </c>
      <c r="H85" s="35" t="s">
        <v>87</v>
      </c>
      <c r="I85" s="554"/>
      <c r="J85" s="552"/>
      <c r="K85" s="542"/>
      <c r="L85" s="542"/>
      <c r="Q85" s="12"/>
      <c r="R85" s="12"/>
    </row>
    <row r="86" spans="1:18">
      <c r="A86" s="54"/>
      <c r="B86" s="54"/>
      <c r="C86" s="299"/>
      <c r="D86" s="303"/>
      <c r="E86" s="273" t="s">
        <v>75</v>
      </c>
      <c r="F86" s="263" t="s">
        <v>192</v>
      </c>
      <c r="G86" s="34">
        <v>63980</v>
      </c>
      <c r="H86" s="35" t="s">
        <v>87</v>
      </c>
      <c r="I86" s="554"/>
      <c r="J86" s="552"/>
      <c r="K86" s="542"/>
      <c r="L86" s="542"/>
      <c r="Q86" s="12"/>
      <c r="R86" s="12"/>
    </row>
    <row r="87" spans="1:18" ht="21.75" customHeight="1">
      <c r="A87" s="54"/>
      <c r="B87" s="54"/>
      <c r="C87" s="299"/>
      <c r="D87" s="303"/>
      <c r="E87" s="273" t="s">
        <v>75</v>
      </c>
      <c r="F87" s="263" t="s">
        <v>194</v>
      </c>
      <c r="G87" s="34">
        <v>1625</v>
      </c>
      <c r="H87" s="35" t="s">
        <v>112</v>
      </c>
      <c r="I87" s="558">
        <f t="shared" si="2"/>
        <v>635.29411764705878</v>
      </c>
      <c r="J87" s="549" t="s">
        <v>826</v>
      </c>
      <c r="K87" s="35">
        <v>27</v>
      </c>
      <c r="L87" s="35" t="s">
        <v>255</v>
      </c>
      <c r="Q87" s="12"/>
      <c r="R87" s="12"/>
    </row>
    <row r="88" spans="1:18">
      <c r="A88" s="54"/>
      <c r="B88" s="54"/>
      <c r="C88" s="299"/>
      <c r="D88" s="303"/>
      <c r="E88" s="273" t="s">
        <v>75</v>
      </c>
      <c r="F88" s="263" t="s">
        <v>195</v>
      </c>
      <c r="G88" s="34">
        <v>4402</v>
      </c>
      <c r="H88" s="35" t="s">
        <v>112</v>
      </c>
      <c r="I88" s="558">
        <f t="shared" si="2"/>
        <v>1741.1764705882354</v>
      </c>
      <c r="J88" s="549" t="s">
        <v>826</v>
      </c>
      <c r="K88" s="35">
        <v>74</v>
      </c>
      <c r="L88" s="35" t="s">
        <v>255</v>
      </c>
      <c r="Q88" s="12"/>
      <c r="R88" s="12"/>
    </row>
    <row r="89" spans="1:18" ht="30">
      <c r="A89" s="54"/>
      <c r="B89" s="54"/>
      <c r="C89" s="299"/>
      <c r="D89" s="303"/>
      <c r="E89" s="273" t="s">
        <v>75</v>
      </c>
      <c r="F89" s="263" t="s">
        <v>196</v>
      </c>
      <c r="G89" s="34">
        <v>4402</v>
      </c>
      <c r="H89" s="35" t="s">
        <v>112</v>
      </c>
      <c r="I89" s="554"/>
      <c r="J89" s="552"/>
      <c r="K89" s="542"/>
      <c r="L89" s="542"/>
      <c r="Q89" s="12"/>
      <c r="R89" s="12"/>
    </row>
    <row r="90" spans="1:18">
      <c r="A90" s="54"/>
      <c r="B90" s="54"/>
      <c r="C90" s="299"/>
      <c r="D90" s="303"/>
      <c r="E90" s="273" t="s">
        <v>75</v>
      </c>
      <c r="F90" s="263" t="s">
        <v>197</v>
      </c>
      <c r="G90" s="34">
        <v>6027</v>
      </c>
      <c r="H90" s="35" t="s">
        <v>112</v>
      </c>
      <c r="I90" s="554"/>
      <c r="J90" s="552"/>
      <c r="K90" s="542"/>
      <c r="L90" s="542"/>
      <c r="Q90" s="12"/>
      <c r="R90" s="12"/>
    </row>
    <row r="91" spans="1:18">
      <c r="A91" s="54"/>
      <c r="B91" s="54"/>
      <c r="C91" s="299"/>
      <c r="D91" s="303"/>
      <c r="E91" s="282" t="s">
        <v>75</v>
      </c>
      <c r="F91" s="283" t="s">
        <v>198</v>
      </c>
      <c r="G91" s="284">
        <v>6207</v>
      </c>
      <c r="H91" s="287" t="s">
        <v>112</v>
      </c>
      <c r="I91" s="577"/>
      <c r="J91" s="578"/>
      <c r="K91" s="573"/>
      <c r="L91" s="573"/>
      <c r="Q91" s="12"/>
      <c r="R91" s="12"/>
    </row>
    <row r="92" spans="1:18">
      <c r="A92" s="54"/>
      <c r="B92" s="54"/>
      <c r="C92" s="299"/>
      <c r="D92" s="303"/>
      <c r="E92" s="273" t="s">
        <v>75</v>
      </c>
      <c r="F92" s="605" t="s">
        <v>833</v>
      </c>
      <c r="G92" s="605"/>
      <c r="H92" s="606"/>
      <c r="I92" s="570"/>
      <c r="J92" s="567"/>
      <c r="K92" s="571"/>
      <c r="L92" s="567"/>
      <c r="Q92" s="12"/>
      <c r="R92" s="12"/>
    </row>
    <row r="93" spans="1:18" ht="16.5" thickBot="1">
      <c r="A93" s="54"/>
      <c r="B93" s="54"/>
      <c r="C93" s="299"/>
      <c r="D93" s="303"/>
      <c r="E93" s="269"/>
      <c r="F93" s="261"/>
      <c r="G93" s="21"/>
      <c r="H93" s="22"/>
      <c r="I93" s="22"/>
      <c r="J93" s="22"/>
      <c r="K93" s="545"/>
      <c r="L93" s="545"/>
      <c r="Q93" s="12"/>
      <c r="R93" s="12"/>
    </row>
    <row r="94" spans="1:18">
      <c r="A94" s="54"/>
      <c r="B94" s="54"/>
      <c r="C94" s="299"/>
      <c r="D94" s="303"/>
      <c r="E94" s="267" t="s">
        <v>788</v>
      </c>
      <c r="F94" s="268" t="str">
        <f>'Materials Procurement Plan'!B11</f>
        <v>DRYWALL</v>
      </c>
      <c r="G94" s="26"/>
      <c r="H94" s="27"/>
      <c r="I94" s="27"/>
      <c r="J94" s="27"/>
      <c r="K94" s="27"/>
      <c r="L94" s="27"/>
      <c r="M94" s="538" t="s">
        <v>808</v>
      </c>
      <c r="Q94" s="12"/>
      <c r="R94" s="12"/>
    </row>
    <row r="95" spans="1:18">
      <c r="A95" s="54"/>
      <c r="B95" s="54"/>
      <c r="C95" s="299"/>
      <c r="D95" s="303"/>
      <c r="E95" s="270"/>
      <c r="F95" s="271" t="s">
        <v>817</v>
      </c>
      <c r="G95" s="29"/>
      <c r="H95" s="30"/>
      <c r="I95" s="30"/>
      <c r="J95" s="30"/>
      <c r="K95" s="30"/>
      <c r="L95" s="30"/>
      <c r="M95" s="538" t="s">
        <v>831</v>
      </c>
      <c r="Q95" s="12"/>
      <c r="R95" s="12"/>
    </row>
    <row r="96" spans="1:18" ht="16.5" thickBot="1">
      <c r="A96" s="54"/>
      <c r="B96" s="54"/>
      <c r="C96" s="299"/>
      <c r="D96" s="303"/>
      <c r="E96" s="272"/>
      <c r="F96" s="262" t="s">
        <v>829</v>
      </c>
      <c r="G96" s="31"/>
      <c r="H96" s="32"/>
      <c r="I96" s="32"/>
      <c r="J96" s="32"/>
      <c r="K96" s="32"/>
      <c r="L96" s="32"/>
      <c r="Q96" s="12"/>
      <c r="R96" s="12"/>
    </row>
    <row r="97" spans="1:18" s="28" customFormat="1">
      <c r="A97" s="54"/>
      <c r="B97" s="54"/>
      <c r="C97" s="299"/>
      <c r="D97" s="303"/>
      <c r="E97" s="273" t="s">
        <v>75</v>
      </c>
      <c r="F97" s="263"/>
      <c r="G97" s="600" t="s">
        <v>825</v>
      </c>
      <c r="H97" s="600"/>
      <c r="I97" s="601" t="s">
        <v>820</v>
      </c>
      <c r="J97" s="602"/>
      <c r="K97" s="546" t="s">
        <v>815</v>
      </c>
      <c r="L97" s="546"/>
      <c r="M97" s="539"/>
    </row>
    <row r="98" spans="1:18">
      <c r="A98" s="54"/>
      <c r="B98" s="54"/>
      <c r="C98" s="299"/>
      <c r="D98" s="303"/>
      <c r="E98" s="274"/>
      <c r="F98" s="275" t="s">
        <v>85</v>
      </c>
      <c r="G98" s="149"/>
      <c r="H98" s="150"/>
      <c r="I98" s="150"/>
      <c r="J98" s="150"/>
      <c r="K98" s="150"/>
      <c r="L98" s="150"/>
      <c r="Q98" s="12"/>
      <c r="R98" s="12"/>
    </row>
    <row r="99" spans="1:18">
      <c r="A99" s="54"/>
      <c r="B99" s="54"/>
      <c r="C99" s="299"/>
      <c r="D99" s="303"/>
      <c r="E99" s="273" t="s">
        <v>75</v>
      </c>
      <c r="F99" s="263" t="s">
        <v>205</v>
      </c>
      <c r="G99" s="34">
        <v>5797</v>
      </c>
      <c r="H99" s="547" t="s">
        <v>87</v>
      </c>
      <c r="I99" s="582">
        <f t="shared" ref="I99:I110" si="3">(G99*0.5)/27</f>
        <v>107.35185185185185</v>
      </c>
      <c r="J99" s="547" t="s">
        <v>821</v>
      </c>
      <c r="K99" s="35">
        <f>I99*(3*27)</f>
        <v>8695.5</v>
      </c>
      <c r="L99" s="35" t="s">
        <v>818</v>
      </c>
      <c r="M99" s="565"/>
      <c r="Q99" s="12"/>
      <c r="R99" s="12"/>
    </row>
    <row r="100" spans="1:18">
      <c r="A100" s="54"/>
      <c r="B100" s="54"/>
      <c r="C100" s="299"/>
      <c r="D100" s="303"/>
      <c r="E100" s="273" t="s">
        <v>75</v>
      </c>
      <c r="F100" s="263" t="s">
        <v>206</v>
      </c>
      <c r="G100" s="34">
        <v>4880</v>
      </c>
      <c r="H100" s="547" t="s">
        <v>87</v>
      </c>
      <c r="I100" s="582">
        <f t="shared" si="3"/>
        <v>90.370370370370367</v>
      </c>
      <c r="J100" s="547" t="s">
        <v>821</v>
      </c>
      <c r="K100" s="35">
        <f>I100*(3*27)</f>
        <v>7320</v>
      </c>
      <c r="L100" s="35" t="s">
        <v>818</v>
      </c>
      <c r="Q100" s="12"/>
      <c r="R100" s="12"/>
    </row>
    <row r="101" spans="1:18">
      <c r="A101" s="54"/>
      <c r="B101" s="54"/>
      <c r="C101" s="299"/>
      <c r="D101" s="303"/>
      <c r="E101" s="273" t="s">
        <v>75</v>
      </c>
      <c r="F101" s="263" t="s">
        <v>207</v>
      </c>
      <c r="G101" s="34">
        <v>8996</v>
      </c>
      <c r="H101" s="580" t="s">
        <v>87</v>
      </c>
      <c r="I101" s="583"/>
      <c r="J101" s="584"/>
      <c r="K101" s="564"/>
      <c r="L101" s="564"/>
      <c r="Q101" s="12"/>
      <c r="R101" s="12"/>
    </row>
    <row r="102" spans="1:18">
      <c r="A102" s="54"/>
      <c r="B102" s="54"/>
      <c r="C102" s="299"/>
      <c r="D102" s="303"/>
      <c r="E102" s="273" t="s">
        <v>75</v>
      </c>
      <c r="F102" s="263" t="s">
        <v>208</v>
      </c>
      <c r="G102" s="34">
        <v>5797</v>
      </c>
      <c r="H102" s="580" t="s">
        <v>87</v>
      </c>
      <c r="I102" s="583"/>
      <c r="J102" s="584"/>
      <c r="K102" s="564"/>
      <c r="L102" s="564"/>
      <c r="M102" s="540"/>
      <c r="Q102" s="12"/>
      <c r="R102" s="12"/>
    </row>
    <row r="103" spans="1:18">
      <c r="A103" s="54"/>
      <c r="B103" s="54"/>
      <c r="C103" s="299"/>
      <c r="D103" s="303"/>
      <c r="E103" s="273" t="s">
        <v>75</v>
      </c>
      <c r="F103" s="263" t="s">
        <v>209</v>
      </c>
      <c r="G103" s="34">
        <v>4880</v>
      </c>
      <c r="H103" s="580" t="s">
        <v>87</v>
      </c>
      <c r="I103" s="583"/>
      <c r="J103" s="584"/>
      <c r="K103" s="564"/>
      <c r="L103" s="564"/>
      <c r="Q103" s="12"/>
      <c r="R103" s="12"/>
    </row>
    <row r="104" spans="1:18">
      <c r="A104" s="54"/>
      <c r="B104" s="54"/>
      <c r="C104" s="299"/>
      <c r="D104" s="303"/>
      <c r="E104" s="273" t="s">
        <v>75</v>
      </c>
      <c r="F104" s="263" t="s">
        <v>210</v>
      </c>
      <c r="G104" s="34">
        <v>2298</v>
      </c>
      <c r="H104" s="580" t="s">
        <v>87</v>
      </c>
      <c r="I104" s="583"/>
      <c r="J104" s="584"/>
      <c r="K104" s="564"/>
      <c r="L104" s="564"/>
      <c r="Q104" s="12"/>
      <c r="R104" s="12"/>
    </row>
    <row r="105" spans="1:18">
      <c r="A105" s="54"/>
      <c r="B105" s="54"/>
      <c r="C105" s="299"/>
      <c r="D105" s="303"/>
      <c r="E105" s="273" t="s">
        <v>75</v>
      </c>
      <c r="F105" s="263" t="s">
        <v>211</v>
      </c>
      <c r="G105" s="34">
        <v>19710</v>
      </c>
      <c r="H105" s="580" t="s">
        <v>87</v>
      </c>
      <c r="I105" s="582">
        <f t="shared" si="3"/>
        <v>365</v>
      </c>
      <c r="J105" s="580" t="s">
        <v>821</v>
      </c>
      <c r="K105" s="566"/>
      <c r="L105" s="566"/>
      <c r="Q105" s="12"/>
      <c r="R105" s="12"/>
    </row>
    <row r="106" spans="1:18">
      <c r="A106" s="54"/>
      <c r="B106" s="54"/>
      <c r="C106" s="299"/>
      <c r="D106" s="303"/>
      <c r="E106" s="273" t="s">
        <v>75</v>
      </c>
      <c r="F106" s="263" t="s">
        <v>212</v>
      </c>
      <c r="G106" s="34">
        <v>708</v>
      </c>
      <c r="H106" s="580" t="s">
        <v>87</v>
      </c>
      <c r="I106" s="582">
        <f t="shared" si="3"/>
        <v>13.111111111111111</v>
      </c>
      <c r="J106" s="580" t="s">
        <v>821</v>
      </c>
      <c r="K106" s="566"/>
      <c r="L106" s="566"/>
      <c r="Q106" s="12"/>
      <c r="R106" s="12"/>
    </row>
    <row r="107" spans="1:18" ht="15" customHeight="1">
      <c r="A107" s="54"/>
      <c r="B107" s="54"/>
      <c r="C107" s="299"/>
      <c r="D107" s="303"/>
      <c r="E107" s="273" t="s">
        <v>75</v>
      </c>
      <c r="F107" s="263" t="s">
        <v>213</v>
      </c>
      <c r="G107" s="34">
        <v>3508</v>
      </c>
      <c r="H107" s="580" t="s">
        <v>87</v>
      </c>
      <c r="I107" s="582">
        <f t="shared" si="3"/>
        <v>64.962962962962962</v>
      </c>
      <c r="J107" s="580" t="s">
        <v>821</v>
      </c>
      <c r="K107" s="566"/>
      <c r="L107" s="566"/>
      <c r="Q107" s="12"/>
      <c r="R107" s="12"/>
    </row>
    <row r="108" spans="1:18">
      <c r="A108" s="54"/>
      <c r="B108" s="54"/>
      <c r="C108" s="299"/>
      <c r="D108" s="303"/>
      <c r="E108" s="273" t="s">
        <v>75</v>
      </c>
      <c r="F108" s="263" t="s">
        <v>214</v>
      </c>
      <c r="G108" s="34">
        <v>381</v>
      </c>
      <c r="H108" s="580" t="s">
        <v>87</v>
      </c>
      <c r="I108" s="582">
        <f t="shared" si="3"/>
        <v>7.0555555555555554</v>
      </c>
      <c r="J108" s="580" t="s">
        <v>821</v>
      </c>
      <c r="K108" s="566"/>
      <c r="L108" s="566"/>
      <c r="Q108" s="12"/>
      <c r="R108" s="12"/>
    </row>
    <row r="109" spans="1:18">
      <c r="A109" s="54"/>
      <c r="B109" s="54"/>
      <c r="C109" s="299"/>
      <c r="D109" s="303"/>
      <c r="E109" s="273" t="s">
        <v>75</v>
      </c>
      <c r="F109" s="263" t="s">
        <v>215</v>
      </c>
      <c r="G109" s="34">
        <v>313</v>
      </c>
      <c r="H109" s="580" t="s">
        <v>87</v>
      </c>
      <c r="I109" s="582">
        <f t="shared" si="3"/>
        <v>5.7962962962962967</v>
      </c>
      <c r="J109" s="580" t="s">
        <v>821</v>
      </c>
      <c r="K109" s="566"/>
      <c r="L109" s="566"/>
      <c r="Q109" s="12"/>
      <c r="R109" s="12"/>
    </row>
    <row r="110" spans="1:18">
      <c r="A110" s="54"/>
      <c r="B110" s="54"/>
      <c r="C110" s="299"/>
      <c r="D110" s="303"/>
      <c r="E110" s="282" t="s">
        <v>75</v>
      </c>
      <c r="F110" s="283" t="s">
        <v>216</v>
      </c>
      <c r="G110" s="284">
        <v>100</v>
      </c>
      <c r="H110" s="581" t="s">
        <v>87</v>
      </c>
      <c r="I110" s="585">
        <f t="shared" si="3"/>
        <v>1.8518518518518519</v>
      </c>
      <c r="J110" s="581" t="s">
        <v>821</v>
      </c>
      <c r="K110" s="576"/>
      <c r="L110" s="576"/>
      <c r="Q110" s="12"/>
      <c r="R110" s="12"/>
    </row>
    <row r="111" spans="1:18">
      <c r="A111" s="54"/>
      <c r="B111" s="54"/>
      <c r="C111" s="299"/>
      <c r="D111" s="303"/>
      <c r="E111" s="273"/>
      <c r="F111" s="605" t="s">
        <v>833</v>
      </c>
      <c r="G111" s="605"/>
      <c r="H111" s="606"/>
      <c r="I111" s="570"/>
      <c r="J111" s="567"/>
      <c r="K111" s="571"/>
      <c r="L111" s="567"/>
      <c r="Q111" s="12"/>
      <c r="R111" s="12"/>
    </row>
    <row r="112" spans="1:18" ht="16.5" thickBot="1">
      <c r="A112" s="54"/>
      <c r="B112" s="54"/>
      <c r="C112" s="299"/>
      <c r="D112" s="303"/>
      <c r="E112" s="269"/>
      <c r="F112" s="261"/>
      <c r="G112" s="21"/>
      <c r="H112" s="22"/>
      <c r="I112" s="22"/>
      <c r="J112" s="22"/>
      <c r="K112" s="545"/>
      <c r="L112" s="545"/>
      <c r="Q112" s="12"/>
      <c r="R112" s="12"/>
    </row>
    <row r="113" spans="1:18">
      <c r="A113" s="54"/>
      <c r="B113" s="54"/>
      <c r="C113" s="299"/>
      <c r="D113" s="303"/>
      <c r="E113" s="267" t="s">
        <v>790</v>
      </c>
      <c r="F113" s="268" t="str">
        <f>'Materials Procurement Plan'!B12</f>
        <v>CEILINGS</v>
      </c>
      <c r="G113" s="26"/>
      <c r="H113" s="27"/>
      <c r="I113" s="27"/>
      <c r="J113" s="27"/>
      <c r="K113" s="27"/>
      <c r="L113" s="27"/>
      <c r="M113" s="538" t="s">
        <v>809</v>
      </c>
      <c r="Q113" s="12"/>
      <c r="R113" s="12"/>
    </row>
    <row r="114" spans="1:18">
      <c r="A114" s="54"/>
      <c r="B114" s="54"/>
      <c r="C114" s="299"/>
      <c r="D114" s="303"/>
      <c r="E114" s="270"/>
      <c r="F114" s="271"/>
      <c r="G114" s="29"/>
      <c r="H114" s="30"/>
      <c r="I114" s="30"/>
      <c r="J114" s="30"/>
      <c r="K114" s="30"/>
      <c r="L114" s="30"/>
      <c r="M114" s="538" t="s">
        <v>812</v>
      </c>
      <c r="Q114" s="12"/>
      <c r="R114" s="12"/>
    </row>
    <row r="115" spans="1:18" ht="16.5" thickBot="1">
      <c r="A115" s="54"/>
      <c r="B115" s="54"/>
      <c r="C115" s="299"/>
      <c r="D115" s="303"/>
      <c r="E115" s="272"/>
      <c r="F115" s="262"/>
      <c r="G115" s="31"/>
      <c r="H115" s="32"/>
      <c r="I115" s="32"/>
      <c r="J115" s="32"/>
      <c r="K115" s="32"/>
      <c r="L115" s="32"/>
      <c r="M115" s="538" t="s">
        <v>810</v>
      </c>
      <c r="Q115" s="12"/>
      <c r="R115" s="12"/>
    </row>
    <row r="116" spans="1:18" s="28" customFormat="1">
      <c r="A116" s="54"/>
      <c r="B116" s="54"/>
      <c r="C116" s="299"/>
      <c r="D116" s="303"/>
      <c r="E116" s="273" t="s">
        <v>75</v>
      </c>
      <c r="F116" s="263"/>
      <c r="G116" s="600" t="s">
        <v>825</v>
      </c>
      <c r="H116" s="600"/>
      <c r="I116" s="601" t="s">
        <v>820</v>
      </c>
      <c r="J116" s="602"/>
      <c r="K116" s="546" t="s">
        <v>815</v>
      </c>
      <c r="L116" s="546"/>
      <c r="M116" s="539"/>
    </row>
    <row r="117" spans="1:18" ht="15" customHeight="1">
      <c r="A117" s="54"/>
      <c r="B117" s="54"/>
      <c r="C117" s="299"/>
      <c r="D117" s="303"/>
      <c r="E117" s="274"/>
      <c r="F117" s="275" t="s">
        <v>85</v>
      </c>
      <c r="G117" s="149"/>
      <c r="H117" s="150"/>
      <c r="I117" s="551"/>
      <c r="J117" s="548"/>
      <c r="K117" s="150"/>
      <c r="L117" s="150"/>
      <c r="Q117" s="12"/>
      <c r="R117" s="12"/>
    </row>
    <row r="118" spans="1:18">
      <c r="A118" s="54"/>
      <c r="B118" s="54"/>
      <c r="C118" s="299"/>
      <c r="D118" s="303"/>
      <c r="E118" s="273" t="s">
        <v>75</v>
      </c>
      <c r="F118" s="263" t="s">
        <v>799</v>
      </c>
      <c r="G118" s="34">
        <v>423</v>
      </c>
      <c r="H118" s="35" t="s">
        <v>218</v>
      </c>
      <c r="I118" s="554"/>
      <c r="J118" s="552"/>
      <c r="K118" s="542"/>
      <c r="L118" s="542"/>
      <c r="Q118" s="12"/>
      <c r="R118" s="12"/>
    </row>
    <row r="119" spans="1:18">
      <c r="A119" s="54"/>
      <c r="B119" s="54"/>
      <c r="C119" s="299"/>
      <c r="D119" s="303"/>
      <c r="E119" s="273" t="s">
        <v>75</v>
      </c>
      <c r="F119" s="263" t="s">
        <v>798</v>
      </c>
      <c r="G119" s="34">
        <v>22180</v>
      </c>
      <c r="H119" s="35" t="s">
        <v>87</v>
      </c>
      <c r="I119" s="554"/>
      <c r="J119" s="552"/>
      <c r="K119" s="542"/>
      <c r="L119" s="542"/>
      <c r="Q119" s="12"/>
      <c r="R119" s="12"/>
    </row>
    <row r="120" spans="1:18">
      <c r="A120" s="54"/>
      <c r="B120" s="54"/>
      <c r="C120" s="299"/>
      <c r="D120" s="303"/>
      <c r="E120" s="273" t="s">
        <v>75</v>
      </c>
      <c r="F120" s="263" t="s">
        <v>801</v>
      </c>
      <c r="G120" s="34">
        <v>4100</v>
      </c>
      <c r="H120" s="35" t="s">
        <v>87</v>
      </c>
      <c r="I120" s="554"/>
      <c r="J120" s="552"/>
      <c r="K120" s="542"/>
      <c r="L120" s="542"/>
      <c r="Q120" s="12"/>
      <c r="R120" s="12"/>
    </row>
    <row r="121" spans="1:18">
      <c r="A121" s="54"/>
      <c r="B121" s="54"/>
      <c r="C121" s="299"/>
      <c r="D121" s="303"/>
      <c r="E121" s="273" t="s">
        <v>75</v>
      </c>
      <c r="F121" s="263" t="s">
        <v>800</v>
      </c>
      <c r="G121" s="34">
        <v>3600</v>
      </c>
      <c r="H121" s="35" t="s">
        <v>112</v>
      </c>
      <c r="I121" s="554"/>
      <c r="J121" s="552"/>
      <c r="K121" s="542"/>
      <c r="L121" s="542"/>
      <c r="Q121" s="12"/>
      <c r="R121" s="12"/>
    </row>
    <row r="122" spans="1:18">
      <c r="A122" s="54"/>
      <c r="B122" s="54"/>
      <c r="C122" s="299"/>
      <c r="D122" s="303"/>
      <c r="E122" s="282" t="s">
        <v>75</v>
      </c>
      <c r="F122" s="283" t="s">
        <v>219</v>
      </c>
      <c r="G122" s="284">
        <v>3600</v>
      </c>
      <c r="H122" s="287" t="s">
        <v>112</v>
      </c>
      <c r="I122" s="574">
        <v>112.8571</v>
      </c>
      <c r="J122" s="575" t="s">
        <v>826</v>
      </c>
      <c r="K122" s="287">
        <v>790</v>
      </c>
      <c r="L122" s="287" t="s">
        <v>818</v>
      </c>
      <c r="N122" s="559"/>
      <c r="Q122" s="12"/>
      <c r="R122" s="12"/>
    </row>
    <row r="123" spans="1:18">
      <c r="A123" s="54"/>
      <c r="B123" s="54"/>
      <c r="C123" s="299"/>
      <c r="D123" s="303"/>
      <c r="E123" s="273"/>
      <c r="F123" s="605" t="s">
        <v>833</v>
      </c>
      <c r="G123" s="605"/>
      <c r="H123" s="606"/>
      <c r="I123" s="570"/>
      <c r="J123" s="567"/>
      <c r="K123" s="571"/>
      <c r="L123" s="567"/>
      <c r="N123" s="559"/>
      <c r="Q123" s="12"/>
      <c r="R123" s="12"/>
    </row>
    <row r="124" spans="1:18" ht="16.5" thickBot="1">
      <c r="A124" s="54"/>
      <c r="B124" s="54"/>
      <c r="C124" s="299"/>
      <c r="D124" s="303"/>
      <c r="E124" s="269"/>
      <c r="F124" s="261"/>
      <c r="G124" s="21"/>
      <c r="H124" s="22"/>
      <c r="I124" s="22"/>
      <c r="J124" s="22"/>
      <c r="K124" s="545"/>
      <c r="L124" s="545"/>
      <c r="Q124" s="12"/>
      <c r="R124" s="12"/>
    </row>
    <row r="125" spans="1:18">
      <c r="A125" s="54"/>
      <c r="B125" s="54"/>
      <c r="C125" s="299"/>
      <c r="D125" s="303"/>
      <c r="E125" s="267" t="s">
        <v>792</v>
      </c>
      <c r="F125" s="268" t="str">
        <f>'Materials Procurement Plan'!B13</f>
        <v>INTERIOR PAINT</v>
      </c>
      <c r="G125" s="26"/>
      <c r="H125" s="27"/>
      <c r="I125" s="27"/>
      <c r="J125" s="27"/>
      <c r="K125" s="27"/>
      <c r="L125" s="27"/>
      <c r="M125" s="538" t="s">
        <v>811</v>
      </c>
      <c r="Q125" s="12"/>
      <c r="R125" s="12"/>
    </row>
    <row r="126" spans="1:18">
      <c r="A126" s="54"/>
      <c r="B126" s="54"/>
      <c r="C126" s="299"/>
      <c r="D126" s="303"/>
      <c r="E126" s="270"/>
      <c r="F126" s="271"/>
      <c r="G126" s="29"/>
      <c r="H126" s="30"/>
      <c r="I126" s="30"/>
      <c r="J126" s="30"/>
      <c r="K126" s="30"/>
      <c r="L126" s="30"/>
      <c r="Q126" s="12"/>
      <c r="R126" s="12"/>
    </row>
    <row r="127" spans="1:18" ht="16.5" thickBot="1">
      <c r="A127" s="54"/>
      <c r="B127" s="54"/>
      <c r="C127" s="299"/>
      <c r="D127" s="303"/>
      <c r="E127" s="272"/>
      <c r="F127" s="262"/>
      <c r="G127" s="31"/>
      <c r="H127" s="32"/>
      <c r="I127" s="32"/>
      <c r="J127" s="32"/>
      <c r="K127" s="32"/>
      <c r="L127" s="32"/>
      <c r="Q127" s="12"/>
      <c r="R127" s="12"/>
    </row>
    <row r="128" spans="1:18" s="28" customFormat="1">
      <c r="A128" s="54"/>
      <c r="B128" s="54"/>
      <c r="C128" s="299"/>
      <c r="D128" s="303"/>
      <c r="E128" s="273" t="s">
        <v>75</v>
      </c>
      <c r="F128" s="263"/>
      <c r="G128" s="34"/>
      <c r="H128" s="35"/>
      <c r="I128" s="35"/>
      <c r="J128" s="35"/>
      <c r="K128" s="35"/>
      <c r="L128" s="35"/>
      <c r="M128" s="539"/>
    </row>
    <row r="129" spans="1:18">
      <c r="A129" s="54"/>
      <c r="B129" s="54"/>
      <c r="C129" s="299"/>
      <c r="D129" s="303"/>
      <c r="E129" s="274"/>
      <c r="F129" s="275" t="s">
        <v>85</v>
      </c>
      <c r="G129" s="149"/>
      <c r="H129" s="150"/>
      <c r="I129" s="150"/>
      <c r="J129" s="150"/>
      <c r="K129" s="150"/>
      <c r="L129" s="150"/>
      <c r="Q129" s="12"/>
      <c r="R129" s="12"/>
    </row>
    <row r="130" spans="1:18">
      <c r="A130" s="54"/>
      <c r="B130" s="54"/>
      <c r="C130" s="299"/>
      <c r="D130" s="303"/>
      <c r="E130" s="273" t="s">
        <v>75</v>
      </c>
      <c r="F130" s="263" t="s">
        <v>224</v>
      </c>
      <c r="G130" s="34">
        <v>36650</v>
      </c>
      <c r="H130" s="33" t="s">
        <v>87</v>
      </c>
      <c r="I130" s="564"/>
      <c r="J130" s="564"/>
      <c r="K130" s="564"/>
      <c r="L130" s="564"/>
      <c r="Q130" s="12"/>
      <c r="R130" s="12"/>
    </row>
    <row r="131" spans="1:18">
      <c r="A131" s="54"/>
      <c r="B131" s="54"/>
      <c r="C131" s="299"/>
      <c r="D131" s="303"/>
      <c r="E131" s="273" t="s">
        <v>75</v>
      </c>
      <c r="F131" s="263" t="s">
        <v>226</v>
      </c>
      <c r="G131" s="34">
        <v>34</v>
      </c>
      <c r="H131" s="33" t="s">
        <v>89</v>
      </c>
      <c r="I131" s="564"/>
      <c r="J131" s="564"/>
      <c r="K131" s="564"/>
      <c r="L131" s="564"/>
      <c r="Q131" s="12"/>
      <c r="R131" s="12"/>
    </row>
    <row r="132" spans="1:18">
      <c r="A132" s="54"/>
      <c r="B132" s="54"/>
      <c r="C132" s="299"/>
      <c r="D132" s="303"/>
      <c r="E132" s="273" t="s">
        <v>75</v>
      </c>
      <c r="F132" s="263" t="s">
        <v>227</v>
      </c>
      <c r="G132" s="34">
        <v>34</v>
      </c>
      <c r="H132" s="33" t="s">
        <v>89</v>
      </c>
      <c r="I132" s="564"/>
      <c r="J132" s="564"/>
      <c r="K132" s="564"/>
      <c r="L132" s="564"/>
      <c r="Q132" s="12"/>
      <c r="R132" s="12"/>
    </row>
    <row r="133" spans="1:18">
      <c r="A133" s="54"/>
      <c r="B133" s="54"/>
      <c r="C133" s="299"/>
      <c r="D133" s="303"/>
      <c r="E133" s="273" t="s">
        <v>75</v>
      </c>
      <c r="F133" s="263" t="s">
        <v>228</v>
      </c>
      <c r="G133" s="34">
        <v>3600</v>
      </c>
      <c r="H133" s="33" t="s">
        <v>112</v>
      </c>
      <c r="I133" s="564"/>
      <c r="J133" s="564"/>
      <c r="K133" s="564"/>
      <c r="L133" s="564"/>
      <c r="Q133" s="12"/>
      <c r="R133" s="12"/>
    </row>
    <row r="134" spans="1:18">
      <c r="A134" s="54"/>
      <c r="B134" s="54"/>
      <c r="C134" s="299"/>
      <c r="D134" s="303"/>
      <c r="E134" s="273" t="s">
        <v>75</v>
      </c>
      <c r="F134" s="263" t="s">
        <v>229</v>
      </c>
      <c r="G134" s="34">
        <v>1</v>
      </c>
      <c r="H134" s="33" t="s">
        <v>92</v>
      </c>
      <c r="I134" s="564"/>
      <c r="J134" s="564"/>
      <c r="K134" s="564"/>
      <c r="L134" s="564"/>
      <c r="Q134" s="12"/>
      <c r="R134" s="12"/>
    </row>
    <row r="135" spans="1:18">
      <c r="A135" s="54"/>
      <c r="B135" s="54"/>
      <c r="C135" s="299"/>
      <c r="D135" s="303"/>
      <c r="E135" s="273" t="s">
        <v>75</v>
      </c>
      <c r="F135" s="263" t="s">
        <v>230</v>
      </c>
      <c r="G135" s="34">
        <v>9</v>
      </c>
      <c r="H135" s="33" t="s">
        <v>89</v>
      </c>
      <c r="I135" s="564"/>
      <c r="J135" s="564"/>
      <c r="K135" s="564"/>
      <c r="L135" s="564"/>
      <c r="Q135" s="12"/>
      <c r="R135" s="12"/>
    </row>
    <row r="136" spans="1:18">
      <c r="A136" s="54"/>
      <c r="B136" s="54"/>
      <c r="C136" s="299"/>
      <c r="D136" s="303"/>
      <c r="E136" s="273" t="s">
        <v>75</v>
      </c>
      <c r="F136" s="263" t="s">
        <v>231</v>
      </c>
      <c r="G136" s="34">
        <v>7</v>
      </c>
      <c r="H136" s="33" t="s">
        <v>89</v>
      </c>
      <c r="I136" s="564"/>
      <c r="J136" s="564"/>
      <c r="K136" s="564"/>
      <c r="L136" s="564"/>
      <c r="Q136" s="12"/>
      <c r="R136" s="12"/>
    </row>
    <row r="137" spans="1:18">
      <c r="A137" s="54"/>
      <c r="B137" s="54"/>
      <c r="C137" s="299"/>
      <c r="D137" s="303"/>
      <c r="E137" s="273" t="s">
        <v>75</v>
      </c>
      <c r="F137" s="263" t="s">
        <v>232</v>
      </c>
      <c r="G137" s="34">
        <v>360</v>
      </c>
      <c r="H137" s="33" t="s">
        <v>112</v>
      </c>
      <c r="I137" s="564"/>
      <c r="J137" s="564"/>
      <c r="K137" s="564"/>
      <c r="L137" s="564"/>
      <c r="Q137" s="12"/>
      <c r="R137" s="12"/>
    </row>
    <row r="138" spans="1:18">
      <c r="A138" s="54"/>
      <c r="B138" s="54"/>
      <c r="C138" s="299"/>
      <c r="D138" s="303"/>
      <c r="E138" s="273" t="s">
        <v>75</v>
      </c>
      <c r="F138" s="263" t="s">
        <v>233</v>
      </c>
      <c r="G138" s="34">
        <v>2250</v>
      </c>
      <c r="H138" s="33" t="s">
        <v>112</v>
      </c>
      <c r="I138" s="564"/>
      <c r="J138" s="564"/>
      <c r="K138" s="564"/>
      <c r="L138" s="564"/>
      <c r="Q138" s="12"/>
      <c r="R138" s="12"/>
    </row>
    <row r="139" spans="1:18">
      <c r="A139" s="54"/>
      <c r="B139" s="54"/>
      <c r="C139" s="299"/>
      <c r="D139" s="303"/>
      <c r="E139" s="273" t="s">
        <v>75</v>
      </c>
      <c r="F139" s="263" t="s">
        <v>234</v>
      </c>
      <c r="G139" s="34">
        <v>1</v>
      </c>
      <c r="H139" s="33" t="s">
        <v>92</v>
      </c>
      <c r="I139" s="564"/>
      <c r="J139" s="564"/>
      <c r="K139" s="564"/>
      <c r="L139" s="564"/>
      <c r="Q139" s="12"/>
      <c r="R139" s="12"/>
    </row>
    <row r="140" spans="1:18">
      <c r="A140" s="54"/>
      <c r="B140" s="54"/>
      <c r="C140" s="299"/>
      <c r="D140" s="303"/>
      <c r="E140" s="273" t="s">
        <v>75</v>
      </c>
      <c r="F140" s="263" t="s">
        <v>235</v>
      </c>
      <c r="G140" s="34">
        <v>1</v>
      </c>
      <c r="H140" s="33" t="s">
        <v>92</v>
      </c>
      <c r="I140" s="564"/>
      <c r="J140" s="564"/>
      <c r="K140" s="564"/>
      <c r="L140" s="564"/>
      <c r="Q140" s="12"/>
      <c r="R140" s="12"/>
    </row>
    <row r="141" spans="1:18" ht="15" customHeight="1">
      <c r="A141" s="54"/>
      <c r="B141" s="54"/>
      <c r="C141" s="299"/>
      <c r="D141" s="303"/>
      <c r="E141" s="282" t="s">
        <v>75</v>
      </c>
      <c r="F141" s="285" t="s">
        <v>180</v>
      </c>
      <c r="G141" s="284">
        <v>1</v>
      </c>
      <c r="H141" s="287" t="s">
        <v>92</v>
      </c>
      <c r="I141" s="573"/>
      <c r="J141" s="573"/>
      <c r="K141" s="573"/>
      <c r="L141" s="573"/>
      <c r="Q141" s="12"/>
      <c r="R141" s="12"/>
    </row>
    <row r="142" spans="1:18" ht="18" customHeight="1">
      <c r="A142" s="54"/>
      <c r="B142" s="54"/>
      <c r="C142" s="299"/>
      <c r="D142" s="303"/>
      <c r="E142" s="273" t="s">
        <v>75</v>
      </c>
      <c r="F142" s="263"/>
      <c r="G142" s="263"/>
      <c r="H142" s="263"/>
      <c r="I142" s="263"/>
      <c r="J142" s="263"/>
      <c r="K142" s="263"/>
      <c r="L142" s="263"/>
      <c r="Q142" s="12"/>
      <c r="R142" s="12"/>
    </row>
    <row r="143" spans="1:18" ht="16.5" thickBot="1">
      <c r="E143" s="273" t="s">
        <v>75</v>
      </c>
      <c r="F143" s="263"/>
      <c r="G143" s="34"/>
      <c r="H143" s="35"/>
      <c r="I143" s="35"/>
      <c r="J143" s="35"/>
      <c r="K143" s="35"/>
      <c r="L143" s="35"/>
      <c r="Q143" s="12"/>
      <c r="R143" s="12"/>
    </row>
    <row r="144" spans="1:18" ht="16.5" thickBot="1">
      <c r="E144" s="267"/>
      <c r="F144" s="268" t="s">
        <v>253</v>
      </c>
      <c r="G144" s="26"/>
      <c r="H144" s="27"/>
      <c r="I144" s="27"/>
      <c r="J144" s="27"/>
      <c r="K144" s="27"/>
      <c r="L144" s="27"/>
      <c r="M144" s="538" t="s">
        <v>828</v>
      </c>
      <c r="Q144" s="12"/>
      <c r="R144" s="12"/>
    </row>
    <row r="145" spans="6:18">
      <c r="F145" s="281"/>
      <c r="G145" s="600" t="s">
        <v>825</v>
      </c>
      <c r="H145" s="600"/>
      <c r="I145" s="601" t="s">
        <v>820</v>
      </c>
      <c r="J145" s="602"/>
      <c r="K145" s="603" t="s">
        <v>815</v>
      </c>
      <c r="L145" s="604"/>
      <c r="Q145" s="12"/>
      <c r="R145" s="12"/>
    </row>
    <row r="146" spans="6:18">
      <c r="F146" s="509" t="s">
        <v>254</v>
      </c>
      <c r="G146" s="510">
        <v>10</v>
      </c>
      <c r="H146" s="511" t="s">
        <v>255</v>
      </c>
      <c r="I146" s="561">
        <f>(G146*2000)/396</f>
        <v>50.505050505050505</v>
      </c>
      <c r="J146" s="560" t="s">
        <v>821</v>
      </c>
      <c r="K146" s="510">
        <v>10</v>
      </c>
      <c r="L146" s="511" t="s">
        <v>255</v>
      </c>
      <c r="Q146" s="12"/>
      <c r="R146" s="12"/>
    </row>
    <row r="147" spans="6:18">
      <c r="F147" s="266" t="s">
        <v>256</v>
      </c>
      <c r="G147" s="46">
        <v>15</v>
      </c>
      <c r="H147" s="12" t="s">
        <v>255</v>
      </c>
      <c r="I147" s="562">
        <f>(G147*2000)/46</f>
        <v>652.17391304347825</v>
      </c>
      <c r="J147" s="549" t="s">
        <v>821</v>
      </c>
      <c r="K147" s="46">
        <v>15</v>
      </c>
      <c r="L147" s="12" t="s">
        <v>255</v>
      </c>
      <c r="Q147" s="12"/>
      <c r="R147" s="12"/>
    </row>
    <row r="148" spans="6:18">
      <c r="F148" s="266" t="s">
        <v>827</v>
      </c>
      <c r="G148" s="46">
        <v>25</v>
      </c>
      <c r="H148" s="12" t="s">
        <v>255</v>
      </c>
      <c r="I148" s="562">
        <f>(G148*2000)/74.54</f>
        <v>670.78078883820763</v>
      </c>
      <c r="J148" s="549" t="s">
        <v>821</v>
      </c>
      <c r="K148" s="46">
        <v>25</v>
      </c>
      <c r="L148" s="12" t="s">
        <v>255</v>
      </c>
      <c r="Q148" s="12"/>
      <c r="R148" s="12"/>
    </row>
    <row r="149" spans="6:18">
      <c r="F149" s="266" t="s">
        <v>824</v>
      </c>
      <c r="G149" s="46">
        <v>35</v>
      </c>
      <c r="H149" s="12" t="s">
        <v>255</v>
      </c>
      <c r="I149" s="563">
        <v>35</v>
      </c>
      <c r="J149" s="549" t="s">
        <v>821</v>
      </c>
      <c r="K149" s="46">
        <v>35</v>
      </c>
      <c r="L149" s="12" t="s">
        <v>255</v>
      </c>
      <c r="Q149" s="12"/>
      <c r="R149" s="12"/>
    </row>
    <row r="150" spans="6:18">
      <c r="Q150" s="12"/>
      <c r="R150" s="12"/>
    </row>
  </sheetData>
  <mergeCells count="23">
    <mergeCell ref="E1:F2"/>
    <mergeCell ref="M76:M77"/>
    <mergeCell ref="I97:J97"/>
    <mergeCell ref="I6:J6"/>
    <mergeCell ref="I11:J11"/>
    <mergeCell ref="G11:H11"/>
    <mergeCell ref="G6:H6"/>
    <mergeCell ref="G34:H34"/>
    <mergeCell ref="I34:J34"/>
    <mergeCell ref="G78:H78"/>
    <mergeCell ref="I78:J78"/>
    <mergeCell ref="G97:H97"/>
    <mergeCell ref="F8:H8"/>
    <mergeCell ref="F29:H29"/>
    <mergeCell ref="F73:H73"/>
    <mergeCell ref="F92:H92"/>
    <mergeCell ref="F111:H111"/>
    <mergeCell ref="F123:H123"/>
    <mergeCell ref="G145:H145"/>
    <mergeCell ref="I145:J145"/>
    <mergeCell ref="K145:L145"/>
    <mergeCell ref="G116:H116"/>
    <mergeCell ref="I116:J116"/>
  </mergeCells>
  <conditionalFormatting sqref="A1:E1 A2:D1048576 M78:M1048576 S1:XFD1048576 M1:M76 P1:P1048576 E150 G1:H4 E151:H1048576 K151:L1048576 E75:H77 K75:L77 E5:H5 E36:H72 K30:L33 E30:H33 I12:J28 E11:F28 I11 K1:L5 G12:H12 K9:L12 I6 E9:J10 E6:F7 I7:L8 E35:G35 E34:F34 K79:L91 E79:H91 E78:F78 I79:J79 J85:J86 I89:J91 E98:H110 E97:F97 K122:L122 E117:H122 E116:F116 I117:L121 E146:H149 E145:F145 K146:L149 I146:J1048576 K98:L110 E92 E93:L96 K112:L115 E112:H115 E111 E123 E124:L144 E8 E29 E74:F74 E73">
    <cfRule type="cellIs" dxfId="53" priority="505" operator="equal">
      <formula>"2ND"</formula>
    </cfRule>
    <cfRule type="cellIs" dxfId="52" priority="506" operator="equal">
      <formula>"PLUG"</formula>
    </cfRule>
  </conditionalFormatting>
  <conditionalFormatting sqref="I30:J33 I1:J4 I74:J77 K6 I98:J98 I112:J115 J101:J110 H35:L35">
    <cfRule type="cellIs" dxfId="51" priority="71" operator="equal">
      <formula>"2ND"</formula>
    </cfRule>
    <cfRule type="cellIs" dxfId="50" priority="72" operator="equal">
      <formula>"PLUG"</formula>
    </cfRule>
  </conditionalFormatting>
  <conditionalFormatting sqref="I99:J99 J100 I100:I110">
    <cfRule type="cellIs" dxfId="49" priority="69" operator="equal">
      <formula>"2ND"</formula>
    </cfRule>
    <cfRule type="cellIs" dxfId="48" priority="70" operator="equal">
      <formula>"PLUG"</formula>
    </cfRule>
  </conditionalFormatting>
  <conditionalFormatting sqref="I5:J5">
    <cfRule type="cellIs" dxfId="47" priority="67" operator="equal">
      <formula>"2ND"</formula>
    </cfRule>
    <cfRule type="cellIs" dxfId="46" priority="68" operator="equal">
      <formula>"PLUG"</formula>
    </cfRule>
  </conditionalFormatting>
  <conditionalFormatting sqref="K13:L28">
    <cfRule type="cellIs" dxfId="45" priority="65" operator="equal">
      <formula>"2ND"</formula>
    </cfRule>
    <cfRule type="cellIs" dxfId="44" priority="66" operator="equal">
      <formula>"PLUG"</formula>
    </cfRule>
  </conditionalFormatting>
  <conditionalFormatting sqref="K36:L72">
    <cfRule type="cellIs" dxfId="43" priority="63" operator="equal">
      <formula>"2ND"</formula>
    </cfRule>
    <cfRule type="cellIs" dxfId="42" priority="64" operator="equal">
      <formula>"PLUG"</formula>
    </cfRule>
  </conditionalFormatting>
  <conditionalFormatting sqref="G7:H7 F8">
    <cfRule type="cellIs" dxfId="41" priority="59" operator="equal">
      <formula>"2ND"</formula>
    </cfRule>
    <cfRule type="cellIs" dxfId="40" priority="60" operator="equal">
      <formula>"PLUG"</formula>
    </cfRule>
  </conditionalFormatting>
  <conditionalFormatting sqref="G13:H28">
    <cfRule type="cellIs" dxfId="39" priority="57" operator="equal">
      <formula>"2ND"</formula>
    </cfRule>
    <cfRule type="cellIs" dxfId="38" priority="58" operator="equal">
      <formula>"PLUG"</formula>
    </cfRule>
  </conditionalFormatting>
  <conditionalFormatting sqref="I34 K34:L34">
    <cfRule type="cellIs" dxfId="37" priority="55" operator="equal">
      <formula>"2ND"</formula>
    </cfRule>
    <cfRule type="cellIs" dxfId="36" priority="56" operator="equal">
      <formula>"PLUG"</formula>
    </cfRule>
  </conditionalFormatting>
  <conditionalFormatting sqref="I36:J36 J37:J38 I39:J41 J42 I43:J72">
    <cfRule type="cellIs" dxfId="35" priority="53" operator="equal">
      <formula>"2ND"</formula>
    </cfRule>
    <cfRule type="cellIs" dxfId="34" priority="54" operator="equal">
      <formula>"PLUG"</formula>
    </cfRule>
  </conditionalFormatting>
  <conditionalFormatting sqref="I37:I38">
    <cfRule type="cellIs" dxfId="33" priority="51" operator="equal">
      <formula>"2ND"</formula>
    </cfRule>
    <cfRule type="cellIs" dxfId="32" priority="52" operator="equal">
      <formula>"PLUG"</formula>
    </cfRule>
  </conditionalFormatting>
  <conditionalFormatting sqref="I42">
    <cfRule type="cellIs" dxfId="31" priority="49" operator="equal">
      <formula>"2ND"</formula>
    </cfRule>
    <cfRule type="cellIs" dxfId="30" priority="50" operator="equal">
      <formula>"PLUG"</formula>
    </cfRule>
  </conditionalFormatting>
  <conditionalFormatting sqref="I78 K78:L78">
    <cfRule type="cellIs" dxfId="29" priority="47" operator="equal">
      <formula>"2ND"</formula>
    </cfRule>
    <cfRule type="cellIs" dxfId="28" priority="48" operator="equal">
      <formula>"PLUG"</formula>
    </cfRule>
  </conditionalFormatting>
  <conditionalFormatting sqref="I97 K97:L97">
    <cfRule type="cellIs" dxfId="27" priority="45" operator="equal">
      <formula>"2ND"</formula>
    </cfRule>
    <cfRule type="cellIs" dxfId="26" priority="46" operator="equal">
      <formula>"PLUG"</formula>
    </cfRule>
  </conditionalFormatting>
  <conditionalFormatting sqref="I116 K116:L116">
    <cfRule type="cellIs" dxfId="25" priority="43" operator="equal">
      <formula>"2ND"</formula>
    </cfRule>
    <cfRule type="cellIs" dxfId="24" priority="44" operator="equal">
      <formula>"PLUG"</formula>
    </cfRule>
  </conditionalFormatting>
  <conditionalFormatting sqref="I145 K145">
    <cfRule type="cellIs" dxfId="23" priority="41" operator="equal">
      <formula>"2ND"</formula>
    </cfRule>
    <cfRule type="cellIs" dxfId="22" priority="42" operator="equal">
      <formula>"PLUG"</formula>
    </cfRule>
  </conditionalFormatting>
  <conditionalFormatting sqref="I85:I86">
    <cfRule type="cellIs" dxfId="21" priority="39" operator="equal">
      <formula>"2ND"</formula>
    </cfRule>
    <cfRule type="cellIs" dxfId="20" priority="40" operator="equal">
      <formula>"PLUG"</formula>
    </cfRule>
  </conditionalFormatting>
  <conditionalFormatting sqref="I29:L29">
    <cfRule type="cellIs" dxfId="19" priority="33" operator="equal">
      <formula>"2ND"</formula>
    </cfRule>
    <cfRule type="cellIs" dxfId="18" priority="34" operator="equal">
      <formula>"PLUG"</formula>
    </cfRule>
  </conditionalFormatting>
  <conditionalFormatting sqref="I73:L73">
    <cfRule type="cellIs" dxfId="17" priority="29" operator="equal">
      <formula>"2ND"</formula>
    </cfRule>
    <cfRule type="cellIs" dxfId="16" priority="30" operator="equal">
      <formula>"PLUG"</formula>
    </cfRule>
  </conditionalFormatting>
  <conditionalFormatting sqref="I92:L92">
    <cfRule type="cellIs" dxfId="15" priority="25" operator="equal">
      <formula>"2ND"</formula>
    </cfRule>
    <cfRule type="cellIs" dxfId="14" priority="26" operator="equal">
      <formula>"PLUG"</formula>
    </cfRule>
  </conditionalFormatting>
  <conditionalFormatting sqref="I111:L111">
    <cfRule type="cellIs" dxfId="13" priority="21" operator="equal">
      <formula>"2ND"</formula>
    </cfRule>
    <cfRule type="cellIs" dxfId="12" priority="22" operator="equal">
      <formula>"PLUG"</formula>
    </cfRule>
  </conditionalFormatting>
  <conditionalFormatting sqref="I123:L123">
    <cfRule type="cellIs" dxfId="11" priority="17" operator="equal">
      <formula>"2ND"</formula>
    </cfRule>
    <cfRule type="cellIs" dxfId="10" priority="18" operator="equal">
      <formula>"PLUG"</formula>
    </cfRule>
  </conditionalFormatting>
  <conditionalFormatting sqref="F29">
    <cfRule type="cellIs" dxfId="9" priority="9" operator="equal">
      <formula>"2ND"</formula>
    </cfRule>
    <cfRule type="cellIs" dxfId="8" priority="10" operator="equal">
      <formula>"PLUG"</formula>
    </cfRule>
  </conditionalFormatting>
  <conditionalFormatting sqref="F73">
    <cfRule type="cellIs" dxfId="7" priority="7" operator="equal">
      <formula>"2ND"</formula>
    </cfRule>
    <cfRule type="cellIs" dxfId="6" priority="8" operator="equal">
      <formula>"PLUG"</formula>
    </cfRule>
  </conditionalFormatting>
  <conditionalFormatting sqref="F92">
    <cfRule type="cellIs" dxfId="5" priority="5" operator="equal">
      <formula>"2ND"</formula>
    </cfRule>
    <cfRule type="cellIs" dxfId="4" priority="6" operator="equal">
      <formula>"PLUG"</formula>
    </cfRule>
  </conditionalFormatting>
  <conditionalFormatting sqref="F111">
    <cfRule type="cellIs" dxfId="3" priority="3" operator="equal">
      <formula>"2ND"</formula>
    </cfRule>
    <cfRule type="cellIs" dxfId="2" priority="4" operator="equal">
      <formula>"PLUG"</formula>
    </cfRule>
  </conditionalFormatting>
  <conditionalFormatting sqref="F123">
    <cfRule type="cellIs" dxfId="1" priority="1" operator="equal">
      <formula>"2ND"</formula>
    </cfRule>
    <cfRule type="cellIs" dxfId="0" priority="2" operator="equal">
      <formula>"PLUG"</formula>
    </cfRule>
  </conditionalFormatting>
  <hyperlinks>
    <hyperlink ref="A5" location="'Pkg Summary'!A1" display="BID DAY"/>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89"/>
  <sheetViews>
    <sheetView workbookViewId="0">
      <selection activeCell="E1" sqref="E1:E1048576"/>
    </sheetView>
  </sheetViews>
  <sheetFormatPr defaultRowHeight="15"/>
  <cols>
    <col min="1" max="1" width="9.140625" style="323"/>
    <col min="2" max="2" width="37.140625" style="323" customWidth="1"/>
    <col min="3" max="3" width="9.140625" style="323"/>
    <col min="4" max="4" width="11.5703125" style="323" bestFit="1" customWidth="1"/>
    <col min="5" max="5" width="15.28515625" style="323" customWidth="1"/>
    <col min="6" max="6" width="15" style="323" customWidth="1"/>
    <col min="7" max="7" width="25.28515625" style="323" customWidth="1"/>
    <col min="8" max="8" width="9.140625" style="323"/>
    <col min="9" max="9" width="14.28515625" style="323" bestFit="1" customWidth="1"/>
    <col min="10" max="10" width="12.5703125" style="323" bestFit="1" customWidth="1"/>
    <col min="11" max="16384" width="9.140625" style="323"/>
  </cols>
  <sheetData>
    <row r="5" spans="1:10">
      <c r="A5" s="322" t="s">
        <v>257</v>
      </c>
      <c r="C5" s="322" t="s">
        <v>258</v>
      </c>
      <c r="D5" s="324" t="s">
        <v>259</v>
      </c>
      <c r="E5" s="325"/>
      <c r="F5" s="325"/>
      <c r="G5" s="325"/>
    </row>
    <row r="6" spans="1:10">
      <c r="A6" s="462" t="s">
        <v>260</v>
      </c>
      <c r="C6" s="323" t="s">
        <v>87</v>
      </c>
      <c r="D6" s="326">
        <v>12</v>
      </c>
      <c r="E6" s="325"/>
      <c r="F6" s="325"/>
      <c r="G6" s="325"/>
      <c r="J6" s="327"/>
    </row>
    <row r="7" spans="1:10" ht="17.25">
      <c r="A7" s="462" t="s">
        <v>261</v>
      </c>
      <c r="C7" s="323" t="s">
        <v>87</v>
      </c>
      <c r="D7" s="326">
        <v>12</v>
      </c>
      <c r="E7" s="325"/>
      <c r="F7" s="325"/>
      <c r="G7" s="325"/>
      <c r="J7" s="328"/>
    </row>
    <row r="8" spans="1:10">
      <c r="A8" s="462" t="s">
        <v>262</v>
      </c>
      <c r="C8" s="323" t="s">
        <v>263</v>
      </c>
      <c r="D8" s="326">
        <v>850</v>
      </c>
      <c r="E8" s="325"/>
      <c r="F8" s="325"/>
      <c r="G8" s="325"/>
      <c r="I8" s="329"/>
      <c r="J8" s="330"/>
    </row>
    <row r="9" spans="1:10">
      <c r="A9" s="462" t="s">
        <v>264</v>
      </c>
      <c r="C9" s="323" t="s">
        <v>263</v>
      </c>
      <c r="D9" s="326">
        <v>450</v>
      </c>
      <c r="E9" s="325"/>
      <c r="F9" s="325"/>
      <c r="G9" s="325"/>
    </row>
    <row r="10" spans="1:10">
      <c r="A10" s="462" t="s">
        <v>265</v>
      </c>
      <c r="C10" s="323" t="s">
        <v>102</v>
      </c>
      <c r="D10" s="326">
        <v>135</v>
      </c>
      <c r="E10" s="325"/>
      <c r="F10" s="325"/>
      <c r="G10" s="325"/>
    </row>
    <row r="11" spans="1:10">
      <c r="A11" s="462" t="s">
        <v>266</v>
      </c>
      <c r="C11" s="323" t="s">
        <v>102</v>
      </c>
      <c r="D11" s="326">
        <v>7</v>
      </c>
      <c r="E11" s="325"/>
      <c r="F11" s="325"/>
      <c r="G11" s="325"/>
    </row>
    <row r="12" spans="1:10">
      <c r="A12" s="462" t="s">
        <v>267</v>
      </c>
      <c r="C12" s="323" t="s">
        <v>102</v>
      </c>
      <c r="D12" s="326">
        <v>65</v>
      </c>
      <c r="E12" s="325"/>
      <c r="F12" s="325"/>
      <c r="G12" s="325"/>
    </row>
    <row r="13" spans="1:10">
      <c r="D13" s="331"/>
    </row>
    <row r="14" spans="1:10">
      <c r="A14" s="322" t="s">
        <v>268</v>
      </c>
      <c r="D14" s="326"/>
      <c r="E14" s="325"/>
      <c r="F14" s="325"/>
      <c r="G14" s="325"/>
    </row>
    <row r="15" spans="1:10">
      <c r="A15" s="462" t="s">
        <v>269</v>
      </c>
      <c r="C15" s="323" t="s">
        <v>102</v>
      </c>
      <c r="D15" s="326">
        <v>14</v>
      </c>
      <c r="E15" s="325"/>
      <c r="F15" s="325"/>
      <c r="G15" s="325"/>
    </row>
    <row r="16" spans="1:10">
      <c r="A16" s="462" t="s">
        <v>270</v>
      </c>
      <c r="C16" s="323" t="s">
        <v>87</v>
      </c>
      <c r="D16" s="326">
        <v>4.5</v>
      </c>
      <c r="E16" s="325"/>
      <c r="F16" s="325"/>
      <c r="G16" s="325"/>
    </row>
    <row r="17" spans="1:7">
      <c r="A17" s="462" t="s">
        <v>271</v>
      </c>
      <c r="C17" s="323" t="s">
        <v>87</v>
      </c>
      <c r="D17" s="326">
        <v>0.15</v>
      </c>
      <c r="E17" s="325"/>
      <c r="F17" s="325"/>
      <c r="G17" s="325"/>
    </row>
    <row r="18" spans="1:7">
      <c r="A18" s="462" t="s">
        <v>262</v>
      </c>
      <c r="C18" s="323" t="s">
        <v>263</v>
      </c>
      <c r="D18" s="326">
        <v>850</v>
      </c>
      <c r="E18" s="325"/>
      <c r="F18" s="325"/>
      <c r="G18" s="325"/>
    </row>
    <row r="19" spans="1:7">
      <c r="A19" s="462" t="s">
        <v>264</v>
      </c>
      <c r="C19" s="323" t="s">
        <v>263</v>
      </c>
      <c r="D19" s="326">
        <v>450</v>
      </c>
      <c r="E19" s="325"/>
      <c r="F19" s="325"/>
      <c r="G19" s="325"/>
    </row>
    <row r="20" spans="1:7">
      <c r="A20" s="462" t="s">
        <v>265</v>
      </c>
      <c r="C20" s="323" t="s">
        <v>102</v>
      </c>
      <c r="D20" s="326">
        <v>120</v>
      </c>
      <c r="E20" s="325"/>
      <c r="F20" s="325"/>
      <c r="G20" s="325"/>
    </row>
    <row r="21" spans="1:7">
      <c r="A21" s="462" t="s">
        <v>266</v>
      </c>
      <c r="C21" s="323" t="s">
        <v>102</v>
      </c>
      <c r="D21" s="326">
        <v>7</v>
      </c>
      <c r="E21" s="325"/>
      <c r="F21" s="325"/>
      <c r="G21" s="325"/>
    </row>
    <row r="22" spans="1:7">
      <c r="A22" s="462" t="s">
        <v>267</v>
      </c>
      <c r="C22" s="323" t="s">
        <v>102</v>
      </c>
      <c r="D22" s="326">
        <v>65</v>
      </c>
      <c r="E22" s="325"/>
      <c r="F22" s="325"/>
      <c r="G22" s="325"/>
    </row>
    <row r="23" spans="1:7">
      <c r="A23" s="462" t="s">
        <v>272</v>
      </c>
      <c r="C23" s="323" t="s">
        <v>102</v>
      </c>
      <c r="D23" s="326">
        <v>22</v>
      </c>
      <c r="E23" s="325"/>
      <c r="F23" s="325"/>
      <c r="G23" s="325"/>
    </row>
    <row r="24" spans="1:7">
      <c r="D24" s="331"/>
    </row>
    <row r="25" spans="1:7">
      <c r="A25" s="322" t="s">
        <v>273</v>
      </c>
      <c r="D25" s="326"/>
      <c r="E25" s="325"/>
      <c r="F25" s="325"/>
      <c r="G25" s="325"/>
    </row>
    <row r="26" spans="1:7">
      <c r="A26" s="462" t="s">
        <v>269</v>
      </c>
      <c r="C26" s="323" t="s">
        <v>102</v>
      </c>
      <c r="D26" s="326">
        <v>14</v>
      </c>
      <c r="E26" s="325"/>
      <c r="F26" s="325"/>
      <c r="G26" s="325"/>
    </row>
    <row r="27" spans="1:7">
      <c r="A27" s="462" t="s">
        <v>270</v>
      </c>
      <c r="C27" s="323" t="s">
        <v>87</v>
      </c>
      <c r="D27" s="326">
        <v>4.5</v>
      </c>
      <c r="E27" s="325"/>
      <c r="F27" s="325"/>
      <c r="G27" s="325"/>
    </row>
    <row r="28" spans="1:7">
      <c r="A28" s="462" t="s">
        <v>271</v>
      </c>
      <c r="C28" s="323" t="s">
        <v>87</v>
      </c>
      <c r="D28" s="326">
        <v>0.15</v>
      </c>
      <c r="E28" s="325"/>
      <c r="F28" s="325"/>
      <c r="G28" s="325"/>
    </row>
    <row r="29" spans="1:7">
      <c r="A29" s="462" t="s">
        <v>262</v>
      </c>
      <c r="C29" s="323" t="s">
        <v>263</v>
      </c>
      <c r="D29" s="326">
        <v>850</v>
      </c>
      <c r="E29" s="325"/>
      <c r="F29" s="325"/>
      <c r="G29" s="325"/>
    </row>
    <row r="30" spans="1:7">
      <c r="A30" s="462" t="s">
        <v>264</v>
      </c>
      <c r="C30" s="323" t="s">
        <v>263</v>
      </c>
      <c r="D30" s="326">
        <v>450</v>
      </c>
      <c r="E30" s="325"/>
      <c r="F30" s="325"/>
      <c r="G30" s="325"/>
    </row>
    <row r="31" spans="1:7">
      <c r="A31" s="462" t="s">
        <v>265</v>
      </c>
      <c r="C31" s="323" t="s">
        <v>102</v>
      </c>
      <c r="D31" s="326">
        <v>120</v>
      </c>
      <c r="E31" s="325"/>
      <c r="F31" s="325"/>
      <c r="G31" s="325"/>
    </row>
    <row r="32" spans="1:7">
      <c r="A32" s="462" t="s">
        <v>266</v>
      </c>
      <c r="C32" s="323" t="s">
        <v>102</v>
      </c>
      <c r="D32" s="326">
        <v>7</v>
      </c>
      <c r="E32" s="325"/>
      <c r="F32" s="325"/>
      <c r="G32" s="325"/>
    </row>
    <row r="33" spans="1:7">
      <c r="A33" s="462" t="s">
        <v>267</v>
      </c>
      <c r="C33" s="323" t="s">
        <v>102</v>
      </c>
      <c r="D33" s="326">
        <v>65</v>
      </c>
      <c r="E33" s="325"/>
      <c r="F33" s="325"/>
      <c r="G33" s="325"/>
    </row>
    <row r="34" spans="1:7">
      <c r="A34" s="462" t="s">
        <v>272</v>
      </c>
      <c r="C34" s="323" t="s">
        <v>102</v>
      </c>
      <c r="D34" s="326">
        <v>22</v>
      </c>
      <c r="E34" s="325"/>
      <c r="F34" s="325"/>
      <c r="G34" s="325"/>
    </row>
    <row r="35" spans="1:7">
      <c r="D35" s="331"/>
    </row>
    <row r="36" spans="1:7">
      <c r="A36" s="322" t="s">
        <v>274</v>
      </c>
      <c r="D36" s="331"/>
      <c r="E36" s="325" t="s">
        <v>65</v>
      </c>
    </row>
    <row r="37" spans="1:7">
      <c r="A37" s="462" t="s">
        <v>275</v>
      </c>
      <c r="C37" s="323" t="s">
        <v>263</v>
      </c>
      <c r="D37" s="331">
        <v>45</v>
      </c>
      <c r="E37" s="325"/>
    </row>
    <row r="38" spans="1:7">
      <c r="A38" s="462" t="s">
        <v>276</v>
      </c>
      <c r="C38" s="323" t="s">
        <v>87</v>
      </c>
      <c r="D38" s="331">
        <v>0.15</v>
      </c>
      <c r="E38" s="325"/>
    </row>
    <row r="39" spans="1:7">
      <c r="A39" s="462" t="s">
        <v>277</v>
      </c>
      <c r="C39" s="323" t="s">
        <v>87</v>
      </c>
      <c r="D39" s="331">
        <v>0.15</v>
      </c>
      <c r="E39" s="325"/>
    </row>
    <row r="40" spans="1:7">
      <c r="A40" s="462" t="s">
        <v>278</v>
      </c>
      <c r="C40" s="323" t="s">
        <v>112</v>
      </c>
      <c r="D40" s="331">
        <v>8</v>
      </c>
      <c r="E40" s="325"/>
    </row>
    <row r="41" spans="1:7">
      <c r="A41" s="462" t="s">
        <v>279</v>
      </c>
      <c r="C41" s="323" t="s">
        <v>87</v>
      </c>
      <c r="D41" s="326">
        <v>0.35</v>
      </c>
      <c r="E41" s="325"/>
      <c r="F41" s="325"/>
      <c r="G41" s="325"/>
    </row>
    <row r="42" spans="1:7">
      <c r="A42" s="462" t="s">
        <v>280</v>
      </c>
      <c r="C42" s="323" t="s">
        <v>87</v>
      </c>
      <c r="D42" s="326">
        <v>0.45</v>
      </c>
      <c r="E42" s="325"/>
      <c r="F42" s="325"/>
      <c r="G42" s="325"/>
    </row>
    <row r="43" spans="1:7">
      <c r="A43" s="462" t="s">
        <v>265</v>
      </c>
      <c r="C43" s="323" t="s">
        <v>102</v>
      </c>
      <c r="D43" s="326">
        <v>120</v>
      </c>
      <c r="E43" s="325"/>
      <c r="F43" s="325"/>
      <c r="G43" s="325"/>
    </row>
    <row r="44" spans="1:7">
      <c r="A44" s="462" t="s">
        <v>266</v>
      </c>
      <c r="C44" s="323" t="s">
        <v>102</v>
      </c>
      <c r="D44" s="326">
        <v>7</v>
      </c>
      <c r="E44" s="325"/>
      <c r="F44" s="325"/>
      <c r="G44" s="325"/>
    </row>
    <row r="45" spans="1:7">
      <c r="A45" s="462" t="s">
        <v>267</v>
      </c>
      <c r="C45" s="323" t="s">
        <v>102</v>
      </c>
      <c r="D45" s="326">
        <v>0</v>
      </c>
      <c r="E45" s="325"/>
      <c r="F45" s="325"/>
      <c r="G45" s="325"/>
    </row>
    <row r="46" spans="1:7">
      <c r="A46" s="462" t="s">
        <v>281</v>
      </c>
      <c r="C46" s="323" t="s">
        <v>87</v>
      </c>
      <c r="D46" s="326">
        <v>1</v>
      </c>
      <c r="E46" s="325"/>
      <c r="F46" s="325"/>
      <c r="G46" s="325"/>
    </row>
    <row r="47" spans="1:7">
      <c r="D47" s="331"/>
    </row>
    <row r="48" spans="1:7">
      <c r="A48" s="322" t="s">
        <v>282</v>
      </c>
      <c r="D48" s="331"/>
      <c r="E48" s="325"/>
      <c r="G48" s="325"/>
    </row>
    <row r="49" spans="1:7">
      <c r="A49" s="462" t="s">
        <v>283</v>
      </c>
      <c r="C49" s="323" t="s">
        <v>87</v>
      </c>
      <c r="D49" s="326">
        <v>12</v>
      </c>
      <c r="E49" s="325"/>
      <c r="F49" s="325"/>
      <c r="G49" s="325"/>
    </row>
    <row r="50" spans="1:7">
      <c r="A50" s="462" t="s">
        <v>262</v>
      </c>
      <c r="C50" s="323" t="s">
        <v>263</v>
      </c>
      <c r="D50" s="326">
        <v>850</v>
      </c>
      <c r="E50" s="325"/>
      <c r="F50" s="325"/>
      <c r="G50" s="325"/>
    </row>
    <row r="51" spans="1:7">
      <c r="A51" s="462" t="s">
        <v>264</v>
      </c>
      <c r="C51" s="323" t="s">
        <v>263</v>
      </c>
      <c r="D51" s="326">
        <v>450</v>
      </c>
      <c r="E51" s="325"/>
      <c r="F51" s="325"/>
      <c r="G51" s="325"/>
    </row>
    <row r="52" spans="1:7">
      <c r="A52" s="462" t="s">
        <v>265</v>
      </c>
      <c r="C52" s="323" t="s">
        <v>102</v>
      </c>
      <c r="D52" s="326">
        <v>140</v>
      </c>
      <c r="E52" s="325"/>
      <c r="F52" s="325"/>
      <c r="G52" s="325"/>
    </row>
    <row r="53" spans="1:7">
      <c r="A53" s="462" t="s">
        <v>266</v>
      </c>
      <c r="C53" s="323" t="s">
        <v>102</v>
      </c>
      <c r="D53" s="326">
        <v>7</v>
      </c>
      <c r="E53" s="325"/>
      <c r="F53" s="325"/>
      <c r="G53" s="325"/>
    </row>
    <row r="54" spans="1:7">
      <c r="A54" s="462" t="s">
        <v>267</v>
      </c>
      <c r="C54" s="323" t="s">
        <v>102</v>
      </c>
      <c r="D54" s="326">
        <v>0</v>
      </c>
      <c r="E54" s="325"/>
      <c r="F54" s="325"/>
      <c r="G54" s="325"/>
    </row>
    <row r="55" spans="1:7">
      <c r="A55" s="462" t="s">
        <v>281</v>
      </c>
      <c r="C55" s="323" t="s">
        <v>87</v>
      </c>
      <c r="D55" s="326">
        <v>2</v>
      </c>
      <c r="E55" s="325"/>
      <c r="F55" s="325"/>
      <c r="G55" s="325"/>
    </row>
    <row r="56" spans="1:7">
      <c r="D56" s="331"/>
    </row>
    <row r="57" spans="1:7">
      <c r="A57" s="322" t="s">
        <v>284</v>
      </c>
      <c r="D57" s="331"/>
      <c r="E57" s="325" t="s">
        <v>65</v>
      </c>
    </row>
    <row r="58" spans="1:7">
      <c r="A58" s="462" t="s">
        <v>265</v>
      </c>
      <c r="C58" s="323" t="s">
        <v>102</v>
      </c>
      <c r="D58" s="326">
        <v>145</v>
      </c>
      <c r="E58" s="325"/>
      <c r="F58" s="325"/>
      <c r="G58" s="325"/>
    </row>
    <row r="59" spans="1:7">
      <c r="A59" s="462" t="s">
        <v>266</v>
      </c>
      <c r="C59" s="323" t="s">
        <v>102</v>
      </c>
      <c r="D59" s="326">
        <v>7</v>
      </c>
      <c r="E59" s="325"/>
      <c r="F59" s="325"/>
      <c r="G59" s="325"/>
    </row>
    <row r="60" spans="1:7">
      <c r="A60" s="462" t="s">
        <v>267</v>
      </c>
      <c r="C60" s="323" t="s">
        <v>102</v>
      </c>
      <c r="D60" s="326">
        <v>0</v>
      </c>
      <c r="E60" s="325"/>
      <c r="F60" s="325"/>
      <c r="G60" s="325"/>
    </row>
    <row r="61" spans="1:7">
      <c r="A61" s="462" t="s">
        <v>281</v>
      </c>
      <c r="C61" s="323" t="s">
        <v>87</v>
      </c>
      <c r="D61" s="326">
        <v>1</v>
      </c>
      <c r="E61" s="325"/>
      <c r="F61" s="325"/>
      <c r="G61" s="325"/>
    </row>
    <row r="62" spans="1:7">
      <c r="A62" s="462"/>
      <c r="D62" s="326"/>
      <c r="E62" s="325"/>
      <c r="F62" s="325"/>
      <c r="G62" s="325"/>
    </row>
    <row r="63" spans="1:7">
      <c r="A63" s="322" t="s">
        <v>285</v>
      </c>
      <c r="D63" s="331"/>
      <c r="E63" s="325"/>
    </row>
    <row r="64" spans="1:7">
      <c r="A64" s="462" t="s">
        <v>286</v>
      </c>
      <c r="C64" s="323" t="s">
        <v>87</v>
      </c>
      <c r="D64" s="326">
        <v>10</v>
      </c>
      <c r="E64" s="325"/>
      <c r="F64" s="325"/>
      <c r="G64" s="325"/>
    </row>
    <row r="65" spans="1:7">
      <c r="A65" s="462" t="s">
        <v>262</v>
      </c>
      <c r="C65" s="323" t="s">
        <v>263</v>
      </c>
      <c r="D65" s="326">
        <v>850</v>
      </c>
      <c r="E65" s="325"/>
      <c r="F65" s="325"/>
      <c r="G65" s="325"/>
    </row>
    <row r="66" spans="1:7">
      <c r="A66" s="462" t="s">
        <v>264</v>
      </c>
      <c r="C66" s="323" t="s">
        <v>263</v>
      </c>
      <c r="D66" s="326">
        <v>450</v>
      </c>
      <c r="E66" s="325"/>
      <c r="F66" s="325"/>
      <c r="G66" s="325"/>
    </row>
    <row r="67" spans="1:7">
      <c r="A67" s="462" t="s">
        <v>265</v>
      </c>
      <c r="C67" s="323" t="s">
        <v>102</v>
      </c>
      <c r="D67" s="326">
        <v>130</v>
      </c>
      <c r="E67" s="325"/>
      <c r="F67" s="325"/>
      <c r="G67" s="325"/>
    </row>
    <row r="68" spans="1:7">
      <c r="A68" s="462" t="s">
        <v>266</v>
      </c>
      <c r="C68" s="323" t="s">
        <v>102</v>
      </c>
      <c r="D68" s="326">
        <v>7</v>
      </c>
      <c r="E68" s="325"/>
      <c r="F68" s="325"/>
      <c r="G68" s="325"/>
    </row>
    <row r="69" spans="1:7">
      <c r="A69" s="462" t="s">
        <v>267</v>
      </c>
      <c r="C69" s="323" t="s">
        <v>102</v>
      </c>
      <c r="D69" s="326">
        <v>65</v>
      </c>
      <c r="E69" s="325"/>
      <c r="F69" s="325"/>
      <c r="G69" s="325"/>
    </row>
    <row r="70" spans="1:7">
      <c r="A70" s="462" t="s">
        <v>287</v>
      </c>
      <c r="C70" s="323" t="s">
        <v>87</v>
      </c>
      <c r="D70" s="326">
        <v>1</v>
      </c>
      <c r="E70" s="325"/>
      <c r="F70" s="325"/>
      <c r="G70" s="325"/>
    </row>
    <row r="71" spans="1:7">
      <c r="D71" s="331"/>
    </row>
    <row r="72" spans="1:7" hidden="1">
      <c r="A72" s="322" t="s">
        <v>288</v>
      </c>
      <c r="D72" s="331"/>
      <c r="E72" s="325"/>
      <c r="F72" s="325"/>
    </row>
    <row r="73" spans="1:7" hidden="1">
      <c r="A73" s="462" t="s">
        <v>270</v>
      </c>
      <c r="C73" s="323" t="s">
        <v>87</v>
      </c>
      <c r="D73" s="326">
        <v>10</v>
      </c>
      <c r="E73" s="325"/>
      <c r="F73" s="325"/>
      <c r="G73" s="325"/>
    </row>
    <row r="74" spans="1:7" hidden="1">
      <c r="A74" s="462" t="s">
        <v>262</v>
      </c>
      <c r="C74" s="323" t="s">
        <v>263</v>
      </c>
      <c r="D74" s="326">
        <v>850</v>
      </c>
      <c r="E74" s="325"/>
      <c r="F74" s="325"/>
      <c r="G74" s="325"/>
    </row>
    <row r="75" spans="1:7" hidden="1">
      <c r="A75" s="462" t="s">
        <v>264</v>
      </c>
      <c r="C75" s="323" t="s">
        <v>263</v>
      </c>
      <c r="D75" s="326">
        <v>450</v>
      </c>
      <c r="E75" s="325"/>
      <c r="F75" s="325"/>
      <c r="G75" s="325"/>
    </row>
    <row r="76" spans="1:7" hidden="1">
      <c r="A76" s="462" t="s">
        <v>265</v>
      </c>
      <c r="C76" s="323" t="s">
        <v>102</v>
      </c>
      <c r="D76" s="326">
        <v>125</v>
      </c>
      <c r="E76" s="325"/>
      <c r="F76" s="325"/>
      <c r="G76" s="325"/>
    </row>
    <row r="77" spans="1:7" hidden="1">
      <c r="A77" s="462" t="s">
        <v>266</v>
      </c>
      <c r="C77" s="323" t="s">
        <v>102</v>
      </c>
      <c r="D77" s="326">
        <v>6</v>
      </c>
      <c r="E77" s="325"/>
      <c r="F77" s="325"/>
      <c r="G77" s="325"/>
    </row>
    <row r="78" spans="1:7" hidden="1">
      <c r="A78" s="462" t="s">
        <v>267</v>
      </c>
      <c r="C78" s="323" t="s">
        <v>102</v>
      </c>
      <c r="D78" s="326">
        <v>65</v>
      </c>
      <c r="E78" s="325"/>
      <c r="F78" s="325"/>
      <c r="G78" s="325"/>
    </row>
    <row r="79" spans="1:7" hidden="1">
      <c r="A79" s="462" t="s">
        <v>287</v>
      </c>
      <c r="C79" s="323" t="s">
        <v>87</v>
      </c>
      <c r="D79" s="326">
        <v>1</v>
      </c>
      <c r="E79" s="325"/>
      <c r="F79" s="325"/>
      <c r="G79" s="325"/>
    </row>
    <row r="80" spans="1:7" hidden="1">
      <c r="D80" s="462"/>
    </row>
    <row r="81" spans="1:4">
      <c r="A81" s="329" t="s">
        <v>289</v>
      </c>
      <c r="B81" s="329"/>
      <c r="C81" s="329"/>
      <c r="D81" s="329"/>
    </row>
    <row r="82" spans="1:4">
      <c r="D82" s="462"/>
    </row>
    <row r="83" spans="1:4">
      <c r="A83" s="323" t="s">
        <v>290</v>
      </c>
      <c r="C83" s="323" t="s">
        <v>87</v>
      </c>
      <c r="D83" s="331">
        <v>1.25</v>
      </c>
    </row>
    <row r="84" spans="1:4">
      <c r="A84" s="323" t="s">
        <v>291</v>
      </c>
      <c r="C84" s="323" t="s">
        <v>87</v>
      </c>
      <c r="D84" s="331">
        <v>2</v>
      </c>
    </row>
    <row r="85" spans="1:4">
      <c r="A85" s="462" t="s">
        <v>292</v>
      </c>
      <c r="C85" s="323" t="s">
        <v>87</v>
      </c>
      <c r="D85" s="331">
        <v>2.75</v>
      </c>
    </row>
    <row r="86" spans="1:4">
      <c r="A86" s="323" t="s">
        <v>293</v>
      </c>
      <c r="C86" s="323" t="s">
        <v>294</v>
      </c>
      <c r="D86" s="331">
        <v>20000</v>
      </c>
    </row>
    <row r="87" spans="1:4">
      <c r="D87" s="462"/>
    </row>
    <row r="88" spans="1:4">
      <c r="A88" s="329" t="s">
        <v>295</v>
      </c>
      <c r="B88" s="329"/>
      <c r="C88" s="329"/>
      <c r="D88" s="329"/>
    </row>
    <row r="89" spans="1:4">
      <c r="A89" s="329"/>
      <c r="B89" s="329"/>
      <c r="C89" s="329"/>
      <c r="D89" s="329"/>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2"/>
  <sheetViews>
    <sheetView view="pageBreakPreview" zoomScaleNormal="70" zoomScaleSheetLayoutView="100" workbookViewId="0">
      <pane xSplit="4" ySplit="5" topLeftCell="E6" activePane="bottomRight" state="frozen"/>
      <selection pane="topRight"/>
      <selection pane="bottomLeft"/>
      <selection pane="bottomRight" activeCell="D6" sqref="D6"/>
    </sheetView>
  </sheetViews>
  <sheetFormatPr defaultColWidth="8.85546875" defaultRowHeight="15"/>
  <cols>
    <col min="1" max="1" width="0" style="332" hidden="1" customWidth="1"/>
    <col min="2" max="2" width="15.5703125" style="332" hidden="1" customWidth="1"/>
    <col min="3" max="3" width="16.28515625" style="332" customWidth="1"/>
    <col min="4" max="4" width="66.28515625" style="449" customWidth="1"/>
    <col min="5" max="5" width="11.5703125" style="450" bestFit="1" customWidth="1"/>
    <col min="6" max="6" width="7.140625" style="449" customWidth="1"/>
    <col min="7" max="7" width="17.28515625" style="449" customWidth="1"/>
    <col min="8" max="8" width="15.85546875" style="449" hidden="1" customWidth="1"/>
    <col min="9" max="9" width="14.42578125" style="449" hidden="1" customWidth="1"/>
    <col min="10" max="10" width="13.42578125" style="449" hidden="1" customWidth="1"/>
    <col min="11" max="11" width="15.140625" style="449" customWidth="1"/>
    <col min="12" max="12" width="21" style="449" bestFit="1" customWidth="1"/>
    <col min="13" max="13" width="44.7109375" style="376" bestFit="1" customWidth="1"/>
    <col min="14" max="14" width="20.42578125" style="376" customWidth="1"/>
    <col min="15" max="15" width="15.85546875" style="376" hidden="1" customWidth="1"/>
    <col min="16" max="16" width="21.5703125" style="376" customWidth="1"/>
    <col min="17" max="17" width="13.85546875" style="376" customWidth="1"/>
    <col min="18" max="18" width="60.42578125" style="449" hidden="1" customWidth="1"/>
    <col min="19" max="19" width="49.85546875" style="332" hidden="1" customWidth="1"/>
    <col min="20" max="22" width="41.5703125" style="332" hidden="1" customWidth="1"/>
    <col min="23" max="23" width="44.7109375" style="332" hidden="1" customWidth="1"/>
    <col min="24" max="24" width="24.5703125" style="332" hidden="1" customWidth="1"/>
    <col min="25" max="16384" width="8.85546875" style="332"/>
  </cols>
  <sheetData>
    <row r="1" spans="1:24" ht="15.75" hidden="1">
      <c r="A1" s="470"/>
      <c r="B1" s="333" t="s">
        <v>296</v>
      </c>
      <c r="C1" s="333" t="s">
        <v>296</v>
      </c>
      <c r="D1" s="334"/>
      <c r="E1" s="335"/>
      <c r="F1" s="334"/>
      <c r="G1" s="334"/>
      <c r="H1" s="334"/>
      <c r="I1" s="334"/>
      <c r="J1" s="334"/>
      <c r="K1" s="334"/>
      <c r="L1" s="334"/>
      <c r="M1" s="336"/>
      <c r="N1" s="336"/>
      <c r="O1" s="336"/>
      <c r="P1" s="336"/>
      <c r="Q1" s="336"/>
      <c r="R1" s="334"/>
      <c r="S1" s="470"/>
      <c r="T1" s="470"/>
      <c r="U1" s="470"/>
      <c r="V1" s="470"/>
      <c r="W1" s="470"/>
      <c r="X1" s="470"/>
    </row>
    <row r="2" spans="1:24" s="337" customFormat="1" ht="15.75" hidden="1">
      <c r="A2" s="471"/>
      <c r="B2" s="333" t="s">
        <v>297</v>
      </c>
      <c r="C2" s="333" t="s">
        <v>297</v>
      </c>
      <c r="D2" s="334"/>
      <c r="E2" s="335"/>
      <c r="F2" s="334"/>
      <c r="G2" s="334"/>
      <c r="H2" s="334"/>
      <c r="I2" s="334"/>
      <c r="J2" s="334"/>
      <c r="K2" s="334"/>
      <c r="L2" s="334"/>
      <c r="M2" s="336"/>
      <c r="N2" s="336"/>
      <c r="O2" s="336"/>
      <c r="P2" s="336"/>
      <c r="Q2" s="336"/>
      <c r="R2" s="471"/>
      <c r="S2" s="471"/>
      <c r="T2" s="338">
        <f>[15]Summary!F1</f>
        <v>42926</v>
      </c>
      <c r="U2" s="338">
        <f>[15]Summary!G1</f>
        <v>0</v>
      </c>
      <c r="V2" s="338">
        <f>[15]Summary!H1</f>
        <v>0</v>
      </c>
      <c r="W2" s="338">
        <f>[15]Summary!I1</f>
        <v>0</v>
      </c>
      <c r="X2" s="338">
        <f>[15]Summary!J1</f>
        <v>0</v>
      </c>
    </row>
    <row r="3" spans="1:24" s="337" customFormat="1" hidden="1">
      <c r="A3" s="471"/>
      <c r="B3" s="471"/>
      <c r="C3" s="472"/>
      <c r="D3" s="339"/>
      <c r="E3" s="340"/>
      <c r="F3" s="339"/>
      <c r="G3" s="339"/>
      <c r="H3" s="339"/>
      <c r="I3" s="339"/>
      <c r="J3" s="339"/>
      <c r="K3" s="339"/>
      <c r="L3" s="339"/>
      <c r="M3" s="341"/>
      <c r="N3" s="341"/>
      <c r="O3" s="341"/>
      <c r="P3" s="341"/>
      <c r="Q3" s="341"/>
      <c r="R3" s="339"/>
      <c r="S3" s="471"/>
      <c r="T3" s="471"/>
      <c r="U3" s="471"/>
      <c r="V3" s="471"/>
      <c r="W3" s="471"/>
      <c r="X3" s="471"/>
    </row>
    <row r="4" spans="1:24" s="337" customFormat="1" hidden="1">
      <c r="A4" s="471"/>
      <c r="B4" s="471"/>
      <c r="C4" s="472"/>
      <c r="D4" s="339"/>
      <c r="E4" s="340"/>
      <c r="F4" s="339"/>
      <c r="G4" s="339"/>
      <c r="H4" s="339"/>
      <c r="I4" s="339"/>
      <c r="J4" s="339"/>
      <c r="K4" s="339"/>
      <c r="L4" s="339"/>
      <c r="M4" s="341"/>
      <c r="N4" s="341"/>
      <c r="O4" s="341"/>
      <c r="P4" s="341"/>
      <c r="Q4" s="341"/>
      <c r="R4" s="339"/>
      <c r="S4" s="471"/>
      <c r="T4" s="471"/>
      <c r="U4" s="471"/>
      <c r="V4" s="471"/>
      <c r="W4" s="471"/>
      <c r="X4" s="471"/>
    </row>
    <row r="5" spans="1:24" s="348" customFormat="1" ht="45.75" thickBot="1">
      <c r="A5" s="342" t="s">
        <v>298</v>
      </c>
      <c r="B5" s="343" t="s">
        <v>299</v>
      </c>
      <c r="C5" s="343" t="s">
        <v>300</v>
      </c>
      <c r="D5" s="343" t="s">
        <v>8</v>
      </c>
      <c r="E5" s="344" t="s">
        <v>9</v>
      </c>
      <c r="F5" s="343" t="s">
        <v>301</v>
      </c>
      <c r="G5" s="343" t="s">
        <v>259</v>
      </c>
      <c r="H5" s="343" t="s">
        <v>302</v>
      </c>
      <c r="I5" s="343" t="s">
        <v>303</v>
      </c>
      <c r="J5" s="343" t="s">
        <v>304</v>
      </c>
      <c r="K5" s="343" t="s">
        <v>305</v>
      </c>
      <c r="L5" s="343" t="s">
        <v>306</v>
      </c>
      <c r="M5" s="345" t="s">
        <v>307</v>
      </c>
      <c r="N5" s="345" t="s">
        <v>308</v>
      </c>
      <c r="O5" s="345" t="s">
        <v>309</v>
      </c>
      <c r="P5" s="345" t="s">
        <v>310</v>
      </c>
      <c r="Q5" s="345" t="s">
        <v>311</v>
      </c>
      <c r="R5" s="343" t="s">
        <v>312</v>
      </c>
      <c r="S5" s="346" t="s">
        <v>313</v>
      </c>
      <c r="T5" s="347" t="s">
        <v>314</v>
      </c>
      <c r="U5" s="347" t="s">
        <v>315</v>
      </c>
      <c r="V5" s="347" t="s">
        <v>316</v>
      </c>
      <c r="W5" s="347" t="s">
        <v>317</v>
      </c>
      <c r="X5" s="347" t="s">
        <v>318</v>
      </c>
    </row>
    <row r="6" spans="1:24">
      <c r="A6" s="349" t="s">
        <v>319</v>
      </c>
      <c r="B6" s="473"/>
      <c r="C6" s="350"/>
      <c r="D6" s="351"/>
      <c r="E6" s="352"/>
      <c r="F6" s="351"/>
      <c r="G6" s="351"/>
      <c r="H6" s="474">
        <f>SUM(H29:H186)</f>
        <v>-1754287.7594444447</v>
      </c>
      <c r="I6" s="474">
        <f>SUM(I29:I186)</f>
        <v>-280370</v>
      </c>
      <c r="J6" s="474">
        <f>SUM(J29:J186)</f>
        <v>-175000</v>
      </c>
      <c r="K6" s="473"/>
      <c r="L6" s="353"/>
      <c r="M6" s="354"/>
      <c r="N6" s="355"/>
      <c r="O6" s="356"/>
      <c r="P6" s="356"/>
      <c r="Q6" s="356"/>
      <c r="R6" s="351"/>
      <c r="S6" s="473"/>
      <c r="T6" s="475"/>
      <c r="U6" s="475"/>
      <c r="V6" s="475"/>
      <c r="W6" s="475"/>
      <c r="X6" s="475"/>
    </row>
    <row r="7" spans="1:24" hidden="1">
      <c r="A7" s="349" t="s">
        <v>320</v>
      </c>
      <c r="B7" s="476"/>
      <c r="C7" s="357"/>
      <c r="D7" s="358"/>
      <c r="E7" s="359"/>
      <c r="F7" s="360"/>
      <c r="G7" s="360"/>
      <c r="H7" s="353"/>
      <c r="I7" s="353"/>
      <c r="J7" s="353"/>
      <c r="K7" s="353"/>
      <c r="L7" s="361"/>
      <c r="M7" s="362"/>
      <c r="N7" s="363"/>
      <c r="O7" s="363"/>
      <c r="P7" s="363"/>
      <c r="Q7" s="363"/>
      <c r="R7" s="364"/>
      <c r="S7" s="476"/>
      <c r="T7" s="477"/>
      <c r="U7" s="477"/>
      <c r="V7" s="477"/>
      <c r="W7" s="477"/>
      <c r="X7" s="477"/>
    </row>
    <row r="8" spans="1:24" hidden="1">
      <c r="A8" s="349" t="s">
        <v>321</v>
      </c>
      <c r="B8" s="476"/>
      <c r="C8" s="357"/>
      <c r="D8" s="358"/>
      <c r="E8" s="359"/>
      <c r="F8" s="360"/>
      <c r="G8" s="360"/>
      <c r="H8" s="353"/>
      <c r="I8" s="353"/>
      <c r="J8" s="353"/>
      <c r="K8" s="353"/>
      <c r="L8" s="364"/>
      <c r="M8" s="362"/>
      <c r="N8" s="365"/>
      <c r="O8" s="363"/>
      <c r="P8" s="363"/>
      <c r="Q8" s="363"/>
      <c r="R8" s="364"/>
      <c r="S8" s="476"/>
      <c r="T8" s="477"/>
      <c r="U8" s="477"/>
      <c r="V8" s="477"/>
      <c r="W8" s="477"/>
      <c r="X8" s="477"/>
    </row>
    <row r="9" spans="1:24" hidden="1">
      <c r="A9" s="478"/>
      <c r="B9" s="476" t="s">
        <v>322</v>
      </c>
      <c r="C9" s="357" t="s">
        <v>323</v>
      </c>
      <c r="D9" s="360" t="s">
        <v>324</v>
      </c>
      <c r="E9" s="366">
        <v>1</v>
      </c>
      <c r="F9" s="367" t="s">
        <v>325</v>
      </c>
      <c r="G9" s="367"/>
      <c r="H9" s="353">
        <v>-71489.929999999993</v>
      </c>
      <c r="I9" s="353">
        <v>-71489.929999999993</v>
      </c>
      <c r="J9" s="353">
        <v>-71489.929999999993</v>
      </c>
      <c r="K9" s="353">
        <v>-71489.929999999993</v>
      </c>
      <c r="L9" s="364"/>
      <c r="M9" s="363"/>
      <c r="N9" s="361"/>
      <c r="O9" s="363"/>
      <c r="P9" s="368">
        <v>-71489.929999999993</v>
      </c>
      <c r="Q9" s="362">
        <v>42878</v>
      </c>
      <c r="R9" s="364"/>
      <c r="S9" s="479"/>
      <c r="T9" s="480"/>
      <c r="U9" s="477" t="s">
        <v>311</v>
      </c>
      <c r="V9" s="477" t="s">
        <v>311</v>
      </c>
      <c r="W9" s="477" t="s">
        <v>311</v>
      </c>
      <c r="X9" s="477"/>
    </row>
    <row r="10" spans="1:24" hidden="1">
      <c r="A10" s="478"/>
      <c r="B10" s="476" t="s">
        <v>326</v>
      </c>
      <c r="C10" s="357" t="s">
        <v>327</v>
      </c>
      <c r="D10" s="360" t="s">
        <v>328</v>
      </c>
      <c r="E10" s="366">
        <v>1</v>
      </c>
      <c r="F10" s="367" t="s">
        <v>325</v>
      </c>
      <c r="G10" s="367"/>
      <c r="H10" s="353">
        <v>-10035</v>
      </c>
      <c r="I10" s="353">
        <v>-10035</v>
      </c>
      <c r="J10" s="353">
        <v>-10035</v>
      </c>
      <c r="K10" s="353">
        <v>-10035</v>
      </c>
      <c r="L10" s="364"/>
      <c r="M10" s="363"/>
      <c r="N10" s="361"/>
      <c r="O10" s="363"/>
      <c r="P10" s="368">
        <v>-10035</v>
      </c>
      <c r="Q10" s="362">
        <v>42878</v>
      </c>
      <c r="R10" s="364"/>
      <c r="S10" s="479"/>
      <c r="T10" s="480"/>
      <c r="U10" s="477" t="s">
        <v>311</v>
      </c>
      <c r="V10" s="477" t="s">
        <v>311</v>
      </c>
      <c r="W10" s="477" t="s">
        <v>311</v>
      </c>
      <c r="X10" s="477"/>
    </row>
    <row r="11" spans="1:24" hidden="1">
      <c r="A11" s="478"/>
      <c r="B11" s="476" t="s">
        <v>329</v>
      </c>
      <c r="C11" s="357" t="s">
        <v>330</v>
      </c>
      <c r="D11" s="360" t="s">
        <v>331</v>
      </c>
      <c r="E11" s="366">
        <v>1</v>
      </c>
      <c r="F11" s="367" t="s">
        <v>325</v>
      </c>
      <c r="G11" s="367"/>
      <c r="H11" s="353">
        <v>-33285</v>
      </c>
      <c r="I11" s="353">
        <v>-33285</v>
      </c>
      <c r="J11" s="353">
        <v>-33285</v>
      </c>
      <c r="K11" s="353">
        <v>-33285</v>
      </c>
      <c r="L11" s="364"/>
      <c r="M11" s="363"/>
      <c r="N11" s="361"/>
      <c r="O11" s="363"/>
      <c r="P11" s="368">
        <v>-33285</v>
      </c>
      <c r="Q11" s="362">
        <v>42878</v>
      </c>
      <c r="R11" s="364"/>
      <c r="S11" s="479"/>
      <c r="T11" s="480"/>
      <c r="U11" s="477" t="s">
        <v>311</v>
      </c>
      <c r="V11" s="477" t="s">
        <v>311</v>
      </c>
      <c r="W11" s="477" t="s">
        <v>311</v>
      </c>
      <c r="X11" s="477"/>
    </row>
    <row r="12" spans="1:24" hidden="1">
      <c r="A12" s="478"/>
      <c r="B12" s="476" t="s">
        <v>329</v>
      </c>
      <c r="C12" s="357" t="s">
        <v>332</v>
      </c>
      <c r="D12" s="360" t="s">
        <v>333</v>
      </c>
      <c r="E12" s="366">
        <v>1</v>
      </c>
      <c r="F12" s="367" t="s">
        <v>325</v>
      </c>
      <c r="G12" s="367"/>
      <c r="H12" s="353">
        <v>-51300</v>
      </c>
      <c r="I12" s="353">
        <v>-51300</v>
      </c>
      <c r="J12" s="353">
        <v>-51300</v>
      </c>
      <c r="K12" s="353">
        <v>-51300</v>
      </c>
      <c r="L12" s="364"/>
      <c r="M12" s="363"/>
      <c r="N12" s="361"/>
      <c r="O12" s="363"/>
      <c r="P12" s="368">
        <v>-51300</v>
      </c>
      <c r="Q12" s="362">
        <v>42878</v>
      </c>
      <c r="R12" s="364"/>
      <c r="S12" s="479"/>
      <c r="T12" s="480"/>
      <c r="U12" s="477" t="s">
        <v>311</v>
      </c>
      <c r="V12" s="477" t="s">
        <v>311</v>
      </c>
      <c r="W12" s="477" t="s">
        <v>311</v>
      </c>
      <c r="X12" s="477"/>
    </row>
    <row r="13" spans="1:24" hidden="1">
      <c r="A13" s="478"/>
      <c r="B13" s="476" t="s">
        <v>329</v>
      </c>
      <c r="C13" s="357" t="s">
        <v>334</v>
      </c>
      <c r="D13" s="360" t="s">
        <v>335</v>
      </c>
      <c r="E13" s="366">
        <v>1</v>
      </c>
      <c r="F13" s="367" t="s">
        <v>325</v>
      </c>
      <c r="G13" s="367"/>
      <c r="H13" s="353">
        <v>-10000</v>
      </c>
      <c r="I13" s="353">
        <v>-10000</v>
      </c>
      <c r="J13" s="353">
        <v>-10000</v>
      </c>
      <c r="K13" s="353">
        <v>-10000</v>
      </c>
      <c r="L13" s="364"/>
      <c r="M13" s="363"/>
      <c r="N13" s="361"/>
      <c r="O13" s="363"/>
      <c r="P13" s="368">
        <v>-10000</v>
      </c>
      <c r="Q13" s="362">
        <v>42878</v>
      </c>
      <c r="R13" s="364"/>
      <c r="S13" s="479"/>
      <c r="T13" s="480"/>
      <c r="U13" s="477" t="s">
        <v>311</v>
      </c>
      <c r="V13" s="477" t="s">
        <v>311</v>
      </c>
      <c r="W13" s="477" t="s">
        <v>311</v>
      </c>
      <c r="X13" s="477"/>
    </row>
    <row r="14" spans="1:24" hidden="1">
      <c r="A14" s="478"/>
      <c r="B14" s="476" t="s">
        <v>329</v>
      </c>
      <c r="C14" s="357" t="s">
        <v>336</v>
      </c>
      <c r="D14" s="360" t="s">
        <v>337</v>
      </c>
      <c r="E14" s="366">
        <v>1</v>
      </c>
      <c r="F14" s="367" t="s">
        <v>325</v>
      </c>
      <c r="G14" s="367"/>
      <c r="H14" s="353">
        <v>-6908</v>
      </c>
      <c r="I14" s="353">
        <v>-6908</v>
      </c>
      <c r="J14" s="353">
        <v>-6908</v>
      </c>
      <c r="K14" s="353">
        <v>-6908</v>
      </c>
      <c r="L14" s="364"/>
      <c r="M14" s="363"/>
      <c r="N14" s="361"/>
      <c r="O14" s="363"/>
      <c r="P14" s="368">
        <v>-6908</v>
      </c>
      <c r="Q14" s="362">
        <v>42878</v>
      </c>
      <c r="R14" s="364"/>
      <c r="S14" s="479"/>
      <c r="T14" s="480"/>
      <c r="U14" s="477" t="s">
        <v>311</v>
      </c>
      <c r="V14" s="477" t="s">
        <v>311</v>
      </c>
      <c r="W14" s="477" t="s">
        <v>311</v>
      </c>
      <c r="X14" s="477"/>
    </row>
    <row r="15" spans="1:24" hidden="1">
      <c r="A15" s="478"/>
      <c r="B15" s="476" t="s">
        <v>326</v>
      </c>
      <c r="C15" s="357" t="s">
        <v>338</v>
      </c>
      <c r="D15" s="360" t="s">
        <v>339</v>
      </c>
      <c r="E15" s="366">
        <v>-179</v>
      </c>
      <c r="F15" s="367" t="s">
        <v>122</v>
      </c>
      <c r="G15" s="367"/>
      <c r="H15" s="353">
        <v>-53700</v>
      </c>
      <c r="I15" s="353">
        <v>-53700</v>
      </c>
      <c r="J15" s="353">
        <v>-53700</v>
      </c>
      <c r="K15" s="353">
        <v>-53700</v>
      </c>
      <c r="L15" s="364"/>
      <c r="M15" s="363"/>
      <c r="N15" s="361"/>
      <c r="O15" s="363"/>
      <c r="P15" s="368">
        <v>-53700</v>
      </c>
      <c r="Q15" s="362">
        <v>42878</v>
      </c>
      <c r="R15" s="364"/>
      <c r="S15" s="479"/>
      <c r="T15" s="480"/>
      <c r="U15" s="477" t="s">
        <v>311</v>
      </c>
      <c r="V15" s="477" t="s">
        <v>311</v>
      </c>
      <c r="W15" s="477" t="s">
        <v>311</v>
      </c>
      <c r="X15" s="477"/>
    </row>
    <row r="16" spans="1:24" hidden="1">
      <c r="A16" s="478"/>
      <c r="B16" s="476" t="s">
        <v>326</v>
      </c>
      <c r="C16" s="357" t="s">
        <v>340</v>
      </c>
      <c r="D16" s="360" t="s">
        <v>341</v>
      </c>
      <c r="E16" s="366">
        <v>1</v>
      </c>
      <c r="F16" s="367" t="s">
        <v>325</v>
      </c>
      <c r="G16" s="367"/>
      <c r="H16" s="353">
        <v>-4500</v>
      </c>
      <c r="I16" s="353">
        <v>-4500</v>
      </c>
      <c r="J16" s="353">
        <v>-4500</v>
      </c>
      <c r="K16" s="353">
        <v>-4500</v>
      </c>
      <c r="L16" s="364"/>
      <c r="M16" s="363"/>
      <c r="N16" s="361"/>
      <c r="O16" s="363"/>
      <c r="P16" s="368">
        <v>-4500</v>
      </c>
      <c r="Q16" s="362">
        <v>42878</v>
      </c>
      <c r="R16" s="364"/>
      <c r="S16" s="479"/>
      <c r="T16" s="480"/>
      <c r="U16" s="477" t="s">
        <v>311</v>
      </c>
      <c r="V16" s="477" t="s">
        <v>311</v>
      </c>
      <c r="W16" s="477" t="s">
        <v>311</v>
      </c>
      <c r="X16" s="477"/>
    </row>
    <row r="17" spans="1:24" ht="16.5" hidden="1" customHeight="1">
      <c r="A17" s="478"/>
      <c r="B17" s="476" t="s">
        <v>329</v>
      </c>
      <c r="C17" s="357" t="s">
        <v>342</v>
      </c>
      <c r="D17" s="360" t="s">
        <v>343</v>
      </c>
      <c r="E17" s="369">
        <v>30</v>
      </c>
      <c r="F17" s="360" t="s">
        <v>344</v>
      </c>
      <c r="G17" s="360"/>
      <c r="H17" s="353">
        <v>-77507.22</v>
      </c>
      <c r="I17" s="353">
        <v>-77507.22</v>
      </c>
      <c r="J17" s="353">
        <v>-77507.22</v>
      </c>
      <c r="K17" s="353">
        <v>-77507.22</v>
      </c>
      <c r="L17" s="364"/>
      <c r="M17" s="363"/>
      <c r="N17" s="361"/>
      <c r="O17" s="363"/>
      <c r="P17" s="370">
        <f>+P18+P19+P20</f>
        <v>-77507.22</v>
      </c>
      <c r="Q17" s="362">
        <v>42892</v>
      </c>
      <c r="R17" s="364" t="s">
        <v>345</v>
      </c>
      <c r="S17" s="479" t="s">
        <v>346</v>
      </c>
      <c r="T17" s="480" t="s">
        <v>347</v>
      </c>
      <c r="U17" s="477" t="s">
        <v>311</v>
      </c>
      <c r="V17" s="477" t="s">
        <v>311</v>
      </c>
      <c r="W17" s="477" t="s">
        <v>311</v>
      </c>
      <c r="X17" s="477"/>
    </row>
    <row r="18" spans="1:24" hidden="1">
      <c r="A18" s="478"/>
      <c r="B18" s="476"/>
      <c r="C18" s="371" t="s">
        <v>348</v>
      </c>
      <c r="D18" s="372" t="s">
        <v>349</v>
      </c>
      <c r="E18" s="366">
        <v>30</v>
      </c>
      <c r="F18" s="367" t="s">
        <v>344</v>
      </c>
      <c r="G18" s="367"/>
      <c r="H18" s="353"/>
      <c r="I18" s="353"/>
      <c r="J18" s="353"/>
      <c r="K18" s="353"/>
      <c r="L18" s="364"/>
      <c r="M18" s="363"/>
      <c r="N18" s="361"/>
      <c r="O18" s="363"/>
      <c r="P18" s="368">
        <f>-43966*0.67</f>
        <v>-29457.22</v>
      </c>
      <c r="Q18" s="362"/>
      <c r="R18" s="364"/>
      <c r="S18" s="479"/>
      <c r="T18" s="480"/>
      <c r="U18" s="477" t="s">
        <v>311</v>
      </c>
      <c r="V18" s="477" t="s">
        <v>311</v>
      </c>
      <c r="W18" s="477" t="s">
        <v>311</v>
      </c>
      <c r="X18" s="477"/>
    </row>
    <row r="19" spans="1:24" hidden="1">
      <c r="A19" s="478"/>
      <c r="B19" s="476"/>
      <c r="C19" s="371" t="s">
        <v>350</v>
      </c>
      <c r="D19" s="372" t="s">
        <v>351</v>
      </c>
      <c r="E19" s="366">
        <v>30</v>
      </c>
      <c r="F19" s="367" t="s">
        <v>344</v>
      </c>
      <c r="G19" s="367"/>
      <c r="H19" s="353"/>
      <c r="I19" s="353"/>
      <c r="J19" s="353"/>
      <c r="K19" s="353"/>
      <c r="L19" s="364"/>
      <c r="M19" s="363"/>
      <c r="N19" s="361"/>
      <c r="O19" s="363"/>
      <c r="P19" s="368">
        <f>-1335*30</f>
        <v>-40050</v>
      </c>
      <c r="Q19" s="362"/>
      <c r="R19" s="364"/>
      <c r="S19" s="479"/>
      <c r="T19" s="480"/>
      <c r="U19" s="477" t="s">
        <v>311</v>
      </c>
      <c r="V19" s="477" t="s">
        <v>311</v>
      </c>
      <c r="W19" s="477" t="s">
        <v>311</v>
      </c>
      <c r="X19" s="477"/>
    </row>
    <row r="20" spans="1:24" hidden="1">
      <c r="A20" s="478"/>
      <c r="B20" s="476"/>
      <c r="C20" s="371" t="s">
        <v>352</v>
      </c>
      <c r="D20" s="372" t="s">
        <v>353</v>
      </c>
      <c r="E20" s="366">
        <v>12</v>
      </c>
      <c r="F20" s="367" t="s">
        <v>344</v>
      </c>
      <c r="G20" s="367"/>
      <c r="H20" s="353"/>
      <c r="I20" s="353"/>
      <c r="J20" s="353"/>
      <c r="K20" s="353"/>
      <c r="L20" s="364"/>
      <c r="M20" s="363"/>
      <c r="N20" s="361"/>
      <c r="O20" s="363"/>
      <c r="P20" s="368">
        <v>-8000</v>
      </c>
      <c r="Q20" s="362"/>
      <c r="R20" s="364"/>
      <c r="S20" s="479"/>
      <c r="T20" s="480"/>
      <c r="U20" s="477" t="s">
        <v>311</v>
      </c>
      <c r="V20" s="477" t="s">
        <v>311</v>
      </c>
      <c r="W20" s="477" t="s">
        <v>311</v>
      </c>
      <c r="X20" s="477"/>
    </row>
    <row r="21" spans="1:24" hidden="1">
      <c r="A21" s="478"/>
      <c r="B21" s="476" t="s">
        <v>322</v>
      </c>
      <c r="C21" s="357" t="s">
        <v>354</v>
      </c>
      <c r="D21" s="360" t="s">
        <v>355</v>
      </c>
      <c r="E21" s="366">
        <v>1</v>
      </c>
      <c r="F21" s="367" t="s">
        <v>325</v>
      </c>
      <c r="G21" s="367"/>
      <c r="H21" s="353">
        <v>-111600</v>
      </c>
      <c r="I21" s="353">
        <v>-111600</v>
      </c>
      <c r="J21" s="353">
        <v>-111600</v>
      </c>
      <c r="K21" s="353">
        <v>-111600</v>
      </c>
      <c r="L21" s="364"/>
      <c r="M21" s="363"/>
      <c r="N21" s="361"/>
      <c r="O21" s="363"/>
      <c r="P21" s="368">
        <f>-620*180</f>
        <v>-111600</v>
      </c>
      <c r="Q21" s="362">
        <v>42892</v>
      </c>
      <c r="R21" s="364" t="s">
        <v>356</v>
      </c>
      <c r="S21" s="479"/>
      <c r="T21" s="480"/>
      <c r="U21" s="477" t="s">
        <v>311</v>
      </c>
      <c r="V21" s="477" t="s">
        <v>311</v>
      </c>
      <c r="W21" s="477" t="s">
        <v>311</v>
      </c>
      <c r="X21" s="477"/>
    </row>
    <row r="22" spans="1:24" hidden="1">
      <c r="A22" s="478"/>
      <c r="B22" s="476" t="s">
        <v>326</v>
      </c>
      <c r="C22" s="357" t="s">
        <v>357</v>
      </c>
      <c r="D22" s="360" t="s">
        <v>358</v>
      </c>
      <c r="E22" s="366">
        <v>1</v>
      </c>
      <c r="F22" s="367" t="s">
        <v>325</v>
      </c>
      <c r="G22" s="367"/>
      <c r="H22" s="353">
        <v>-45419.37</v>
      </c>
      <c r="I22" s="353">
        <v>-45419.37</v>
      </c>
      <c r="J22" s="353">
        <v>-45419.37</v>
      </c>
      <c r="K22" s="353">
        <v>-45419.37</v>
      </c>
      <c r="L22" s="364"/>
      <c r="M22" s="363"/>
      <c r="N22" s="361"/>
      <c r="O22" s="363"/>
      <c r="P22" s="368">
        <v>-45419.37</v>
      </c>
      <c r="Q22" s="362">
        <v>42878</v>
      </c>
      <c r="R22" s="364"/>
      <c r="S22" s="479"/>
      <c r="T22" s="480"/>
      <c r="U22" s="477" t="s">
        <v>311</v>
      </c>
      <c r="V22" s="477" t="s">
        <v>311</v>
      </c>
      <c r="W22" s="477" t="s">
        <v>311</v>
      </c>
      <c r="X22" s="477"/>
    </row>
    <row r="23" spans="1:24" hidden="1">
      <c r="A23" s="478"/>
      <c r="B23" s="476" t="s">
        <v>326</v>
      </c>
      <c r="C23" s="357" t="s">
        <v>359</v>
      </c>
      <c r="D23" s="360" t="s">
        <v>360</v>
      </c>
      <c r="E23" s="366">
        <v>1</v>
      </c>
      <c r="F23" s="367" t="s">
        <v>325</v>
      </c>
      <c r="G23" s="367"/>
      <c r="H23" s="353">
        <v>-19040</v>
      </c>
      <c r="I23" s="353">
        <v>-19040</v>
      </c>
      <c r="J23" s="353">
        <v>-19040</v>
      </c>
      <c r="K23" s="353">
        <v>-19040</v>
      </c>
      <c r="L23" s="364"/>
      <c r="M23" s="363"/>
      <c r="N23" s="361"/>
      <c r="O23" s="363"/>
      <c r="P23" s="368">
        <v>-19040</v>
      </c>
      <c r="Q23" s="362">
        <v>42878</v>
      </c>
      <c r="R23" s="364"/>
      <c r="S23" s="479"/>
      <c r="T23" s="480"/>
      <c r="U23" s="477" t="s">
        <v>311</v>
      </c>
      <c r="V23" s="477" t="s">
        <v>311</v>
      </c>
      <c r="W23" s="477" t="s">
        <v>311</v>
      </c>
      <c r="X23" s="477"/>
    </row>
    <row r="24" spans="1:24" hidden="1">
      <c r="A24" s="478"/>
      <c r="B24" s="476" t="s">
        <v>326</v>
      </c>
      <c r="C24" s="357" t="s">
        <v>361</v>
      </c>
      <c r="D24" s="360" t="s">
        <v>362</v>
      </c>
      <c r="E24" s="366">
        <v>1</v>
      </c>
      <c r="F24" s="367" t="s">
        <v>325</v>
      </c>
      <c r="G24" s="367"/>
      <c r="H24" s="353">
        <v>-35000</v>
      </c>
      <c r="I24" s="353">
        <v>-35000</v>
      </c>
      <c r="J24" s="353">
        <v>-35000</v>
      </c>
      <c r="K24" s="353">
        <v>-35000</v>
      </c>
      <c r="L24" s="364"/>
      <c r="M24" s="363"/>
      <c r="N24" s="361"/>
      <c r="O24" s="363"/>
      <c r="P24" s="368">
        <v>-35000</v>
      </c>
      <c r="Q24" s="362">
        <v>42878</v>
      </c>
      <c r="R24" s="364"/>
      <c r="S24" s="479"/>
      <c r="T24" s="480"/>
      <c r="U24" s="477" t="s">
        <v>311</v>
      </c>
      <c r="V24" s="477" t="s">
        <v>311</v>
      </c>
      <c r="W24" s="477" t="s">
        <v>311</v>
      </c>
      <c r="X24" s="477"/>
    </row>
    <row r="25" spans="1:24" hidden="1">
      <c r="A25" s="478"/>
      <c r="B25" s="476" t="s">
        <v>329</v>
      </c>
      <c r="C25" s="357" t="s">
        <v>363</v>
      </c>
      <c r="D25" s="360" t="s">
        <v>364</v>
      </c>
      <c r="E25" s="366">
        <v>1</v>
      </c>
      <c r="F25" s="367" t="s">
        <v>325</v>
      </c>
      <c r="G25" s="367"/>
      <c r="H25" s="353">
        <v>-100000</v>
      </c>
      <c r="I25" s="353">
        <v>-100000</v>
      </c>
      <c r="J25" s="353">
        <v>-100000</v>
      </c>
      <c r="K25" s="353">
        <v>-100000</v>
      </c>
      <c r="L25" s="364"/>
      <c r="M25" s="363"/>
      <c r="N25" s="361"/>
      <c r="O25" s="363"/>
      <c r="P25" s="368">
        <v>-100000</v>
      </c>
      <c r="Q25" s="362">
        <v>42878</v>
      </c>
      <c r="R25" s="364"/>
      <c r="S25" s="479"/>
      <c r="T25" s="480"/>
      <c r="U25" s="477" t="s">
        <v>311</v>
      </c>
      <c r="V25" s="477" t="s">
        <v>311</v>
      </c>
      <c r="W25" s="477" t="s">
        <v>311</v>
      </c>
      <c r="X25" s="477"/>
    </row>
    <row r="26" spans="1:24" ht="45" hidden="1">
      <c r="A26" s="478"/>
      <c r="B26" s="476" t="s">
        <v>322</v>
      </c>
      <c r="C26" s="357" t="s">
        <v>365</v>
      </c>
      <c r="D26" s="360" t="s">
        <v>366</v>
      </c>
      <c r="E26" s="369">
        <v>1</v>
      </c>
      <c r="F26" s="360" t="s">
        <v>325</v>
      </c>
      <c r="G26" s="360"/>
      <c r="H26" s="353">
        <v>-6500</v>
      </c>
      <c r="I26" s="353">
        <v>-6500</v>
      </c>
      <c r="J26" s="353">
        <v>-6500</v>
      </c>
      <c r="K26" s="353">
        <v>-6500</v>
      </c>
      <c r="L26" s="364"/>
      <c r="M26" s="363"/>
      <c r="N26" s="361"/>
      <c r="O26" s="363"/>
      <c r="P26" s="365">
        <v>-6500</v>
      </c>
      <c r="Q26" s="362">
        <v>42892</v>
      </c>
      <c r="R26" s="364" t="s">
        <v>367</v>
      </c>
      <c r="S26" s="479" t="s">
        <v>368</v>
      </c>
      <c r="T26" s="480" t="s">
        <v>369</v>
      </c>
      <c r="U26" s="477" t="s">
        <v>311</v>
      </c>
      <c r="V26" s="477" t="s">
        <v>311</v>
      </c>
      <c r="W26" s="477" t="s">
        <v>311</v>
      </c>
      <c r="X26" s="477"/>
    </row>
    <row r="27" spans="1:24" ht="30" hidden="1" customHeight="1">
      <c r="A27" s="478"/>
      <c r="B27" s="476" t="s">
        <v>326</v>
      </c>
      <c r="C27" s="357" t="s">
        <v>370</v>
      </c>
      <c r="D27" s="358" t="s">
        <v>371</v>
      </c>
      <c r="E27" s="359">
        <v>1</v>
      </c>
      <c r="F27" s="360" t="s">
        <v>325</v>
      </c>
      <c r="G27" s="360"/>
      <c r="H27" s="353">
        <v>-70000</v>
      </c>
      <c r="I27" s="353">
        <v>-70000</v>
      </c>
      <c r="J27" s="353">
        <v>-70000</v>
      </c>
      <c r="K27" s="353">
        <v>-70000</v>
      </c>
      <c r="L27" s="364"/>
      <c r="M27" s="362"/>
      <c r="N27" s="373"/>
      <c r="O27" s="363"/>
      <c r="P27" s="361">
        <v>-70000</v>
      </c>
      <c r="Q27" s="362">
        <v>42892</v>
      </c>
      <c r="R27" s="364" t="s">
        <v>372</v>
      </c>
      <c r="S27" s="481" t="s">
        <v>373</v>
      </c>
      <c r="T27" s="482"/>
      <c r="U27" s="477" t="s">
        <v>311</v>
      </c>
      <c r="V27" s="477" t="s">
        <v>311</v>
      </c>
      <c r="W27" s="477" t="s">
        <v>311</v>
      </c>
      <c r="X27" s="477"/>
    </row>
    <row r="28" spans="1:24" hidden="1">
      <c r="A28" s="349" t="s">
        <v>374</v>
      </c>
      <c r="B28" s="476"/>
      <c r="C28" s="357"/>
      <c r="D28" s="360"/>
      <c r="E28" s="359"/>
      <c r="F28" s="360"/>
      <c r="G28" s="360"/>
      <c r="H28" s="353"/>
      <c r="I28" s="353"/>
      <c r="J28" s="353"/>
      <c r="K28" s="353"/>
      <c r="L28" s="364"/>
      <c r="M28" s="362"/>
      <c r="N28" s="365"/>
      <c r="O28" s="363"/>
      <c r="P28" s="363"/>
      <c r="Q28" s="362"/>
      <c r="R28" s="374"/>
      <c r="S28" s="483"/>
      <c r="T28" s="484"/>
      <c r="U28" s="477"/>
      <c r="V28" s="477"/>
      <c r="W28" s="477"/>
      <c r="X28" s="477"/>
    </row>
    <row r="29" spans="1:24">
      <c r="A29" s="485"/>
      <c r="B29" s="473" t="s">
        <v>326</v>
      </c>
      <c r="C29" s="375" t="s">
        <v>375</v>
      </c>
      <c r="D29" s="351" t="s">
        <v>376</v>
      </c>
      <c r="E29" s="352">
        <v>1</v>
      </c>
      <c r="F29" s="351" t="s">
        <v>325</v>
      </c>
      <c r="G29" s="351"/>
      <c r="H29" s="353">
        <f>K29</f>
        <v>-5000</v>
      </c>
      <c r="I29" s="353"/>
      <c r="J29" s="353"/>
      <c r="K29" s="353">
        <v>-5000</v>
      </c>
      <c r="L29" s="353">
        <f>-25*200</f>
        <v>-5000</v>
      </c>
      <c r="M29" s="354">
        <v>42878</v>
      </c>
      <c r="N29" s="355"/>
      <c r="O29" s="356"/>
      <c r="P29" s="356"/>
      <c r="Q29" s="356"/>
      <c r="R29" s="351"/>
      <c r="S29" s="473"/>
      <c r="T29" s="475"/>
      <c r="U29" s="475" t="s">
        <v>377</v>
      </c>
      <c r="V29" s="475" t="s">
        <v>378</v>
      </c>
      <c r="W29" s="475" t="s">
        <v>379</v>
      </c>
      <c r="X29" s="475"/>
    </row>
    <row r="30" spans="1:24" ht="30">
      <c r="A30" s="478"/>
      <c r="B30" s="476" t="s">
        <v>329</v>
      </c>
      <c r="C30" s="357" t="s">
        <v>380</v>
      </c>
      <c r="D30" s="357" t="s">
        <v>381</v>
      </c>
      <c r="E30" s="359">
        <v>7447</v>
      </c>
      <c r="F30" s="360" t="s">
        <v>122</v>
      </c>
      <c r="G30" s="365">
        <v>-2</v>
      </c>
      <c r="H30" s="353">
        <f>K30</f>
        <v>-14894</v>
      </c>
      <c r="I30" s="353"/>
      <c r="J30" s="353"/>
      <c r="K30" s="353">
        <f>G30*E30</f>
        <v>-14894</v>
      </c>
      <c r="L30" s="365">
        <f>K30</f>
        <v>-14894</v>
      </c>
      <c r="M30" s="362">
        <v>42878</v>
      </c>
      <c r="N30" s="361"/>
      <c r="O30" s="363"/>
      <c r="P30" s="363"/>
      <c r="Q30" s="363"/>
      <c r="R30" s="364" t="s">
        <v>382</v>
      </c>
      <c r="S30" s="476"/>
      <c r="T30" s="477"/>
      <c r="U30" s="475" t="s">
        <v>377</v>
      </c>
      <c r="V30" s="475" t="s">
        <v>378</v>
      </c>
      <c r="W30" s="475" t="s">
        <v>379</v>
      </c>
      <c r="X30" s="475"/>
    </row>
    <row r="31" spans="1:24" ht="30">
      <c r="A31" s="478"/>
      <c r="B31" s="476" t="s">
        <v>326</v>
      </c>
      <c r="C31" s="357" t="s">
        <v>383</v>
      </c>
      <c r="D31" s="360" t="s">
        <v>384</v>
      </c>
      <c r="E31" s="359">
        <v>1</v>
      </c>
      <c r="F31" s="360" t="s">
        <v>325</v>
      </c>
      <c r="G31" s="360"/>
      <c r="H31" s="353">
        <f>K31</f>
        <v>-6750</v>
      </c>
      <c r="I31" s="353"/>
      <c r="J31" s="353"/>
      <c r="K31" s="353">
        <v>-6750</v>
      </c>
      <c r="L31" s="365">
        <v>-6750</v>
      </c>
      <c r="M31" s="362">
        <v>42878</v>
      </c>
      <c r="N31" s="361"/>
      <c r="O31" s="363"/>
      <c r="P31" s="363"/>
      <c r="Q31" s="363"/>
      <c r="R31" s="364"/>
      <c r="S31" s="476"/>
      <c r="T31" s="477"/>
      <c r="U31" s="475" t="s">
        <v>377</v>
      </c>
      <c r="V31" s="475" t="s">
        <v>378</v>
      </c>
      <c r="W31" s="475" t="s">
        <v>385</v>
      </c>
      <c r="X31" s="475"/>
    </row>
    <row r="32" spans="1:24" ht="60">
      <c r="A32" s="478"/>
      <c r="B32" s="476" t="s">
        <v>201</v>
      </c>
      <c r="C32" s="357" t="s">
        <v>386</v>
      </c>
      <c r="D32" s="358" t="s">
        <v>387</v>
      </c>
      <c r="E32" s="359">
        <v>9764</v>
      </c>
      <c r="F32" s="360" t="s">
        <v>122</v>
      </c>
      <c r="G32" s="360"/>
      <c r="H32" s="353">
        <f>L32</f>
        <v>-30512.5</v>
      </c>
      <c r="I32" s="353"/>
      <c r="J32" s="353"/>
      <c r="K32" s="353">
        <v>-30512.5</v>
      </c>
      <c r="L32" s="361">
        <f>-E32*(125*0.025)</f>
        <v>-30512.5</v>
      </c>
      <c r="M32" s="362">
        <v>43007</v>
      </c>
      <c r="O32" s="363"/>
      <c r="P32" s="363"/>
      <c r="Q32" s="363"/>
      <c r="R32" s="364" t="s">
        <v>388</v>
      </c>
      <c r="S32" s="476"/>
      <c r="T32" s="477"/>
      <c r="U32" s="477" t="s">
        <v>389</v>
      </c>
      <c r="V32" s="475" t="s">
        <v>378</v>
      </c>
      <c r="W32" s="475" t="s">
        <v>390</v>
      </c>
      <c r="X32" s="475"/>
    </row>
    <row r="33" spans="1:24">
      <c r="A33" s="478"/>
      <c r="B33" s="476" t="s">
        <v>326</v>
      </c>
      <c r="C33" s="357" t="s">
        <v>391</v>
      </c>
      <c r="D33" s="360" t="s">
        <v>392</v>
      </c>
      <c r="E33" s="359">
        <v>-327</v>
      </c>
      <c r="F33" s="360" t="s">
        <v>112</v>
      </c>
      <c r="G33" s="365">
        <v>28.56</v>
      </c>
      <c r="H33" s="353">
        <f>K33</f>
        <v>-9339.119999999999</v>
      </c>
      <c r="I33" s="353"/>
      <c r="J33" s="353"/>
      <c r="K33" s="353">
        <f>G33*E33</f>
        <v>-9339.119999999999</v>
      </c>
      <c r="L33" s="365">
        <f>K33</f>
        <v>-9339.119999999999</v>
      </c>
      <c r="M33" s="362">
        <v>42899</v>
      </c>
      <c r="N33" s="363"/>
      <c r="O33" s="363"/>
      <c r="P33" s="363"/>
      <c r="Q33" s="363"/>
      <c r="R33" s="374" t="s">
        <v>393</v>
      </c>
      <c r="S33" s="476"/>
      <c r="T33" s="477"/>
      <c r="U33" s="475" t="s">
        <v>377</v>
      </c>
      <c r="V33" s="475" t="s">
        <v>378</v>
      </c>
      <c r="W33" s="475" t="s">
        <v>379</v>
      </c>
      <c r="X33" s="475"/>
    </row>
    <row r="34" spans="1:24">
      <c r="A34" s="478"/>
      <c r="B34" s="476"/>
      <c r="C34" s="357" t="s">
        <v>120</v>
      </c>
      <c r="D34" s="360" t="s">
        <v>121</v>
      </c>
      <c r="E34" s="359">
        <v>-16906</v>
      </c>
      <c r="F34" s="360" t="s">
        <v>122</v>
      </c>
      <c r="G34" s="365">
        <f>86558/16906</f>
        <v>5.1199574115698567</v>
      </c>
      <c r="H34" s="353">
        <f>K34</f>
        <v>-86558</v>
      </c>
      <c r="I34" s="353"/>
      <c r="J34" s="353"/>
      <c r="K34" s="353">
        <f>G34*E34</f>
        <v>-86558</v>
      </c>
      <c r="L34" s="365">
        <v>-86558</v>
      </c>
      <c r="M34" s="362">
        <v>43007</v>
      </c>
      <c r="N34" s="365"/>
      <c r="O34" s="363"/>
      <c r="P34" s="363"/>
      <c r="Q34" s="362"/>
      <c r="R34" s="374"/>
      <c r="S34" s="483"/>
      <c r="T34" s="484"/>
      <c r="U34" s="475" t="s">
        <v>377</v>
      </c>
      <c r="V34" s="475" t="s">
        <v>378</v>
      </c>
      <c r="W34" s="475" t="s">
        <v>379</v>
      </c>
      <c r="X34" s="475"/>
    </row>
    <row r="35" spans="1:24">
      <c r="A35" s="478"/>
      <c r="B35" s="476"/>
      <c r="C35" s="357" t="s">
        <v>123</v>
      </c>
      <c r="D35" s="360" t="s">
        <v>124</v>
      </c>
      <c r="E35" s="359">
        <f>+E34</f>
        <v>-16906</v>
      </c>
      <c r="F35" s="360" t="s">
        <v>87</v>
      </c>
      <c r="G35" s="365">
        <v>1.28</v>
      </c>
      <c r="H35" s="353">
        <f>K35</f>
        <v>-21639.68</v>
      </c>
      <c r="I35" s="353"/>
      <c r="J35" s="353"/>
      <c r="K35" s="353">
        <f>G35*E35</f>
        <v>-21639.68</v>
      </c>
      <c r="L35" s="365">
        <v>-21639.68</v>
      </c>
      <c r="M35" s="362">
        <v>43007</v>
      </c>
      <c r="N35" s="365"/>
      <c r="O35" s="363"/>
      <c r="P35" s="363"/>
      <c r="Q35" s="362"/>
      <c r="R35" s="374"/>
      <c r="S35" s="483"/>
      <c r="T35" s="484"/>
      <c r="U35" s="475" t="s">
        <v>377</v>
      </c>
      <c r="V35" s="475" t="s">
        <v>378</v>
      </c>
      <c r="W35" s="475" t="s">
        <v>379</v>
      </c>
      <c r="X35" s="475"/>
    </row>
    <row r="36" spans="1:24" s="377" customFormat="1" ht="30">
      <c r="A36" s="486"/>
      <c r="B36" s="487"/>
      <c r="C36" s="357" t="s">
        <v>125</v>
      </c>
      <c r="D36" s="360" t="s">
        <v>394</v>
      </c>
      <c r="E36" s="359">
        <v>-11973</v>
      </c>
      <c r="F36" s="360" t="s">
        <v>87</v>
      </c>
      <c r="G36" s="365">
        <v>2.5</v>
      </c>
      <c r="H36" s="353"/>
      <c r="I36" s="353"/>
      <c r="J36" s="353"/>
      <c r="K36" s="353"/>
      <c r="L36" s="365"/>
      <c r="M36" s="362">
        <v>43046</v>
      </c>
      <c r="N36" s="365"/>
      <c r="O36" s="363"/>
      <c r="P36" s="363"/>
      <c r="Q36" s="362"/>
      <c r="R36" s="374" t="s">
        <v>395</v>
      </c>
      <c r="S36" s="488"/>
      <c r="T36" s="489"/>
      <c r="U36" s="477" t="s">
        <v>396</v>
      </c>
      <c r="V36" s="475" t="s">
        <v>378</v>
      </c>
      <c r="W36" s="475" t="s">
        <v>379</v>
      </c>
      <c r="X36" s="475"/>
    </row>
    <row r="37" spans="1:24" s="377" customFormat="1" ht="30">
      <c r="A37" s="486"/>
      <c r="B37" s="487"/>
      <c r="C37" s="357" t="s">
        <v>127</v>
      </c>
      <c r="D37" s="360" t="s">
        <v>397</v>
      </c>
      <c r="E37" s="359">
        <v>-6753</v>
      </c>
      <c r="F37" s="360" t="s">
        <v>87</v>
      </c>
      <c r="G37" s="365">
        <v>3</v>
      </c>
      <c r="H37" s="353"/>
      <c r="I37" s="353"/>
      <c r="J37" s="353"/>
      <c r="K37" s="353"/>
      <c r="L37" s="365"/>
      <c r="M37" s="362">
        <v>43046</v>
      </c>
      <c r="N37" s="365"/>
      <c r="O37" s="363"/>
      <c r="P37" s="363"/>
      <c r="Q37" s="362"/>
      <c r="R37" s="374" t="s">
        <v>395</v>
      </c>
      <c r="S37" s="488"/>
      <c r="T37" s="489"/>
      <c r="U37" s="477" t="s">
        <v>396</v>
      </c>
      <c r="V37" s="475" t="s">
        <v>378</v>
      </c>
      <c r="W37" s="475" t="s">
        <v>379</v>
      </c>
      <c r="X37" s="475"/>
    </row>
    <row r="38" spans="1:24">
      <c r="A38" s="478"/>
      <c r="B38" s="476"/>
      <c r="C38" s="357" t="s">
        <v>129</v>
      </c>
      <c r="D38" s="360" t="s">
        <v>398</v>
      </c>
      <c r="E38" s="359">
        <v>-900</v>
      </c>
      <c r="F38" s="360" t="s">
        <v>87</v>
      </c>
      <c r="G38" s="365">
        <v>3.7</v>
      </c>
      <c r="H38" s="353"/>
      <c r="I38" s="353"/>
      <c r="J38" s="353"/>
      <c r="K38" s="353"/>
      <c r="L38" s="365"/>
      <c r="M38" s="362">
        <v>43007</v>
      </c>
      <c r="N38" s="365"/>
      <c r="O38" s="363"/>
      <c r="P38" s="363"/>
      <c r="Q38" s="362"/>
      <c r="R38" s="374" t="s">
        <v>399</v>
      </c>
      <c r="S38" s="483"/>
      <c r="T38" s="484"/>
      <c r="U38" s="475" t="s">
        <v>377</v>
      </c>
      <c r="V38" s="475" t="s">
        <v>378</v>
      </c>
      <c r="W38" s="475" t="s">
        <v>379</v>
      </c>
      <c r="X38" s="475"/>
    </row>
    <row r="39" spans="1:24" ht="30">
      <c r="A39" s="478"/>
      <c r="B39" s="476"/>
      <c r="C39" s="357" t="s">
        <v>400</v>
      </c>
      <c r="D39" s="360" t="s">
        <v>401</v>
      </c>
      <c r="E39" s="359">
        <v>-1</v>
      </c>
      <c r="F39" s="360" t="s">
        <v>92</v>
      </c>
      <c r="G39" s="365">
        <v>53521.5</v>
      </c>
      <c r="H39" s="353">
        <f>K39</f>
        <v>-53521.5</v>
      </c>
      <c r="I39" s="353"/>
      <c r="J39" s="353"/>
      <c r="K39" s="353">
        <f t="shared" ref="K39:K54" si="0">G39*E39</f>
        <v>-53521.5</v>
      </c>
      <c r="L39" s="365">
        <f>K39</f>
        <v>-53521.5</v>
      </c>
      <c r="M39" s="362">
        <v>43047</v>
      </c>
      <c r="N39" s="365"/>
      <c r="O39" s="363"/>
      <c r="P39" s="363"/>
      <c r="Q39" s="362"/>
      <c r="R39" s="374" t="s">
        <v>402</v>
      </c>
      <c r="S39" s="483"/>
      <c r="T39" s="484"/>
      <c r="U39" s="475"/>
      <c r="V39" s="475" t="s">
        <v>378</v>
      </c>
      <c r="W39" s="475" t="s">
        <v>379</v>
      </c>
      <c r="X39" s="475"/>
    </row>
    <row r="40" spans="1:24" ht="45">
      <c r="A40" s="478"/>
      <c r="B40" s="476"/>
      <c r="C40" s="357" t="s">
        <v>403</v>
      </c>
      <c r="D40" s="360" t="s">
        <v>404</v>
      </c>
      <c r="E40" s="359">
        <v>-376</v>
      </c>
      <c r="F40" s="360" t="s">
        <v>87</v>
      </c>
      <c r="G40" s="365">
        <v>46.9</v>
      </c>
      <c r="H40" s="353">
        <f>K40</f>
        <v>-17634.399999999998</v>
      </c>
      <c r="I40" s="353"/>
      <c r="J40" s="353"/>
      <c r="K40" s="353">
        <f t="shared" si="0"/>
        <v>-17634.399999999998</v>
      </c>
      <c r="L40" s="365">
        <v>-17634</v>
      </c>
      <c r="M40" s="362">
        <v>43007</v>
      </c>
      <c r="N40" s="365"/>
      <c r="O40" s="363"/>
      <c r="P40" s="363"/>
      <c r="Q40" s="362"/>
      <c r="R40" s="374" t="s">
        <v>405</v>
      </c>
      <c r="S40" s="483"/>
      <c r="T40" s="484"/>
      <c r="U40" s="475" t="s">
        <v>377</v>
      </c>
      <c r="V40" s="475" t="s">
        <v>378</v>
      </c>
      <c r="W40" s="475" t="s">
        <v>379</v>
      </c>
      <c r="X40" s="475"/>
    </row>
    <row r="41" spans="1:24" ht="30">
      <c r="A41" s="478"/>
      <c r="B41" s="476"/>
      <c r="C41" s="357" t="s">
        <v>406</v>
      </c>
      <c r="D41" s="360" t="s">
        <v>407</v>
      </c>
      <c r="E41" s="359">
        <v>-1</v>
      </c>
      <c r="F41" s="360" t="s">
        <v>92</v>
      </c>
      <c r="G41" s="365">
        <v>7780</v>
      </c>
      <c r="H41" s="353">
        <f>L41</f>
        <v>-7780</v>
      </c>
      <c r="I41" s="353"/>
      <c r="J41" s="353"/>
      <c r="K41" s="353">
        <f t="shared" si="0"/>
        <v>-7780</v>
      </c>
      <c r="L41" s="365">
        <v>-7780</v>
      </c>
      <c r="M41" s="362">
        <v>43007</v>
      </c>
      <c r="N41" s="365"/>
      <c r="O41" s="363"/>
      <c r="P41" s="378"/>
      <c r="Q41" s="362"/>
      <c r="R41" s="374" t="s">
        <v>408</v>
      </c>
      <c r="S41" s="483"/>
      <c r="T41" s="484"/>
      <c r="U41" s="477" t="s">
        <v>409</v>
      </c>
      <c r="V41" s="475" t="s">
        <v>378</v>
      </c>
      <c r="W41" s="475" t="s">
        <v>410</v>
      </c>
      <c r="X41" s="475"/>
    </row>
    <row r="42" spans="1:24" hidden="1">
      <c r="A42" s="478"/>
      <c r="B42" s="476"/>
      <c r="C42" s="357" t="s">
        <v>411</v>
      </c>
      <c r="D42" s="360" t="s">
        <v>412</v>
      </c>
      <c r="E42" s="359">
        <v>-375</v>
      </c>
      <c r="F42" s="360" t="s">
        <v>87</v>
      </c>
      <c r="G42" s="365">
        <v>12</v>
      </c>
      <c r="H42" s="353"/>
      <c r="I42" s="353"/>
      <c r="J42" s="353"/>
      <c r="K42" s="353">
        <f t="shared" si="0"/>
        <v>-4500</v>
      </c>
      <c r="L42" s="365"/>
      <c r="M42" s="362"/>
      <c r="N42" s="365"/>
      <c r="O42" s="363"/>
      <c r="P42" s="378">
        <v>-4500</v>
      </c>
      <c r="Q42" s="362">
        <v>43007</v>
      </c>
      <c r="R42" s="374"/>
      <c r="S42" s="483"/>
      <c r="T42" s="484"/>
      <c r="U42" s="477" t="s">
        <v>311</v>
      </c>
      <c r="V42" s="475" t="s">
        <v>378</v>
      </c>
      <c r="W42" s="475"/>
      <c r="X42" s="475"/>
    </row>
    <row r="43" spans="1:24">
      <c r="A43" s="478"/>
      <c r="B43" s="476"/>
      <c r="C43" s="357" t="s">
        <v>413</v>
      </c>
      <c r="D43" s="360" t="s">
        <v>414</v>
      </c>
      <c r="E43" s="359">
        <v>-1447</v>
      </c>
      <c r="F43" s="360" t="s">
        <v>112</v>
      </c>
      <c r="G43" s="365">
        <v>20</v>
      </c>
      <c r="H43" s="353">
        <f>L43</f>
        <v>-28940</v>
      </c>
      <c r="I43" s="353"/>
      <c r="J43" s="353"/>
      <c r="K43" s="353">
        <f t="shared" si="0"/>
        <v>-28940</v>
      </c>
      <c r="L43" s="365">
        <v>-28940</v>
      </c>
      <c r="M43" s="362">
        <v>43007</v>
      </c>
      <c r="N43" s="365"/>
      <c r="O43" s="363"/>
      <c r="P43" s="378"/>
      <c r="Q43" s="362"/>
      <c r="R43" s="374"/>
      <c r="S43" s="483"/>
      <c r="T43" s="484"/>
      <c r="U43" s="475" t="s">
        <v>377</v>
      </c>
      <c r="V43" s="475" t="s">
        <v>378</v>
      </c>
      <c r="W43" s="475" t="s">
        <v>379</v>
      </c>
      <c r="X43" s="475"/>
    </row>
    <row r="44" spans="1:24" ht="30">
      <c r="A44" s="478"/>
      <c r="B44" s="476"/>
      <c r="C44" s="357" t="s">
        <v>415</v>
      </c>
      <c r="D44" s="357" t="s">
        <v>416</v>
      </c>
      <c r="E44" s="359">
        <v>-1196</v>
      </c>
      <c r="F44" s="360" t="s">
        <v>87</v>
      </c>
      <c r="G44" s="365">
        <v>20</v>
      </c>
      <c r="H44" s="353">
        <f>L44</f>
        <v>-23920</v>
      </c>
      <c r="I44" s="353"/>
      <c r="J44" s="353"/>
      <c r="K44" s="353">
        <f t="shared" si="0"/>
        <v>-23920</v>
      </c>
      <c r="L44" s="365">
        <v>-23920</v>
      </c>
      <c r="M44" s="362">
        <v>43007</v>
      </c>
      <c r="N44" s="365">
        <f>E44*10</f>
        <v>-11960</v>
      </c>
      <c r="O44" s="363"/>
      <c r="P44" s="378"/>
      <c r="Q44" s="362"/>
      <c r="R44" s="374" t="s">
        <v>417</v>
      </c>
      <c r="S44" s="483"/>
      <c r="T44" s="484"/>
      <c r="U44" s="475" t="s">
        <v>377</v>
      </c>
      <c r="V44" s="475" t="s">
        <v>378</v>
      </c>
      <c r="W44" s="475" t="s">
        <v>379</v>
      </c>
      <c r="X44" s="475"/>
    </row>
    <row r="45" spans="1:24" hidden="1">
      <c r="A45" s="478"/>
      <c r="B45" s="476"/>
      <c r="C45" s="357" t="s">
        <v>418</v>
      </c>
      <c r="D45" s="360" t="s">
        <v>419</v>
      </c>
      <c r="E45" s="359">
        <f>-1312</f>
        <v>-1312</v>
      </c>
      <c r="F45" s="360" t="s">
        <v>87</v>
      </c>
      <c r="G45" s="365">
        <v>24.5</v>
      </c>
      <c r="H45" s="353"/>
      <c r="I45" s="353"/>
      <c r="J45" s="353"/>
      <c r="K45" s="353">
        <f t="shared" si="0"/>
        <v>-32144</v>
      </c>
      <c r="L45" s="365"/>
      <c r="M45" s="362"/>
      <c r="N45" s="365"/>
      <c r="O45" s="363"/>
      <c r="P45" s="378">
        <v>-32144</v>
      </c>
      <c r="Q45" s="362">
        <v>43007</v>
      </c>
      <c r="R45" s="374"/>
      <c r="S45" s="483"/>
      <c r="T45" s="484"/>
      <c r="U45" s="477" t="s">
        <v>311</v>
      </c>
      <c r="V45" s="475" t="s">
        <v>378</v>
      </c>
      <c r="W45" s="475"/>
      <c r="X45" s="475"/>
    </row>
    <row r="46" spans="1:24" ht="30">
      <c r="A46" s="478"/>
      <c r="B46" s="476"/>
      <c r="C46" s="357" t="s">
        <v>420</v>
      </c>
      <c r="D46" s="360" t="s">
        <v>421</v>
      </c>
      <c r="E46" s="359">
        <v>-1</v>
      </c>
      <c r="F46" s="360" t="s">
        <v>422</v>
      </c>
      <c r="G46" s="365">
        <v>40100</v>
      </c>
      <c r="H46" s="353">
        <f>L46</f>
        <v>-40100</v>
      </c>
      <c r="I46" s="353"/>
      <c r="J46" s="353"/>
      <c r="K46" s="353">
        <f t="shared" si="0"/>
        <v>-40100</v>
      </c>
      <c r="L46" s="365">
        <v>-40100</v>
      </c>
      <c r="M46" s="362">
        <v>43007</v>
      </c>
      <c r="N46" s="365"/>
      <c r="O46" s="363"/>
      <c r="P46" s="378"/>
      <c r="Q46" s="362"/>
      <c r="R46" s="374"/>
      <c r="S46" s="483"/>
      <c r="T46" s="484"/>
      <c r="U46" s="475" t="s">
        <v>377</v>
      </c>
      <c r="V46" s="475" t="s">
        <v>378</v>
      </c>
      <c r="W46" s="475" t="s">
        <v>390</v>
      </c>
      <c r="X46" s="475"/>
    </row>
    <row r="47" spans="1:24" hidden="1">
      <c r="A47" s="478"/>
      <c r="B47" s="476"/>
      <c r="C47" s="357" t="s">
        <v>423</v>
      </c>
      <c r="D47" s="360" t="s">
        <v>424</v>
      </c>
      <c r="E47" s="359">
        <v>-11</v>
      </c>
      <c r="F47" s="360" t="s">
        <v>112</v>
      </c>
      <c r="G47" s="365">
        <v>275</v>
      </c>
      <c r="H47" s="353"/>
      <c r="I47" s="353"/>
      <c r="J47" s="353"/>
      <c r="K47" s="353">
        <f t="shared" si="0"/>
        <v>-3025</v>
      </c>
      <c r="L47" s="365"/>
      <c r="M47" s="362"/>
      <c r="N47" s="365"/>
      <c r="O47" s="363"/>
      <c r="P47" s="378">
        <v>-3025</v>
      </c>
      <c r="Q47" s="362">
        <v>43007</v>
      </c>
      <c r="R47" s="374"/>
      <c r="S47" s="483"/>
      <c r="T47" s="484"/>
      <c r="U47" s="477" t="s">
        <v>311</v>
      </c>
      <c r="V47" s="475" t="s">
        <v>378</v>
      </c>
      <c r="W47" s="475"/>
      <c r="X47" s="475"/>
    </row>
    <row r="48" spans="1:24" hidden="1">
      <c r="A48" s="478"/>
      <c r="B48" s="476"/>
      <c r="C48" s="357" t="s">
        <v>425</v>
      </c>
      <c r="D48" s="360" t="s">
        <v>426</v>
      </c>
      <c r="E48" s="359">
        <v>-62</v>
      </c>
      <c r="F48" s="360" t="s">
        <v>112</v>
      </c>
      <c r="G48" s="365">
        <v>195</v>
      </c>
      <c r="H48" s="353"/>
      <c r="I48" s="353"/>
      <c r="J48" s="353"/>
      <c r="K48" s="353">
        <f t="shared" si="0"/>
        <v>-12090</v>
      </c>
      <c r="L48" s="365"/>
      <c r="M48" s="362"/>
      <c r="N48" s="365"/>
      <c r="O48" s="363"/>
      <c r="P48" s="378">
        <v>-12090</v>
      </c>
      <c r="Q48" s="362">
        <v>43007</v>
      </c>
      <c r="R48" s="374"/>
      <c r="S48" s="483"/>
      <c r="T48" s="484"/>
      <c r="U48" s="477" t="s">
        <v>311</v>
      </c>
      <c r="V48" s="475" t="s">
        <v>378</v>
      </c>
      <c r="W48" s="475"/>
      <c r="X48" s="475"/>
    </row>
    <row r="49" spans="1:24" ht="45">
      <c r="A49" s="478"/>
      <c r="B49" s="476"/>
      <c r="C49" s="357" t="s">
        <v>427</v>
      </c>
      <c r="D49" s="360" t="s">
        <v>428</v>
      </c>
      <c r="E49" s="359">
        <v>-1</v>
      </c>
      <c r="F49" s="360" t="s">
        <v>92</v>
      </c>
      <c r="G49" s="365">
        <v>15000</v>
      </c>
      <c r="H49" s="353">
        <f>K49</f>
        <v>-15000</v>
      </c>
      <c r="I49" s="353"/>
      <c r="J49" s="353"/>
      <c r="K49" s="353">
        <f t="shared" si="0"/>
        <v>-15000</v>
      </c>
      <c r="L49" s="365">
        <v>-15000</v>
      </c>
      <c r="M49" s="362">
        <v>43018</v>
      </c>
      <c r="N49" s="365"/>
      <c r="O49" s="363"/>
      <c r="P49" s="378"/>
      <c r="Q49" s="362"/>
      <c r="R49" s="374" t="s">
        <v>429</v>
      </c>
      <c r="S49" s="483"/>
      <c r="T49" s="484"/>
      <c r="U49" s="477"/>
      <c r="V49" s="475" t="s">
        <v>378</v>
      </c>
      <c r="W49" s="475" t="s">
        <v>390</v>
      </c>
      <c r="X49" s="475"/>
    </row>
    <row r="50" spans="1:24" ht="45">
      <c r="A50" s="478"/>
      <c r="B50" s="476"/>
      <c r="C50" s="357" t="s">
        <v>430</v>
      </c>
      <c r="D50" s="357" t="s">
        <v>431</v>
      </c>
      <c r="E50" s="359">
        <v>-1</v>
      </c>
      <c r="F50" s="360" t="s">
        <v>92</v>
      </c>
      <c r="G50" s="365">
        <v>98698</v>
      </c>
      <c r="H50" s="353">
        <f>K50</f>
        <v>-98698</v>
      </c>
      <c r="I50" s="353"/>
      <c r="J50" s="353"/>
      <c r="K50" s="353">
        <f t="shared" si="0"/>
        <v>-98698</v>
      </c>
      <c r="L50" s="365">
        <v>-98698</v>
      </c>
      <c r="M50" s="362">
        <v>43007</v>
      </c>
      <c r="N50" s="365"/>
      <c r="O50" s="363"/>
      <c r="P50" s="378"/>
      <c r="Q50" s="362"/>
      <c r="R50" s="374" t="s">
        <v>432</v>
      </c>
      <c r="S50" s="483"/>
      <c r="T50" s="484"/>
      <c r="U50" s="477" t="s">
        <v>377</v>
      </c>
      <c r="V50" s="475" t="s">
        <v>378</v>
      </c>
      <c r="W50" s="475" t="s">
        <v>433</v>
      </c>
      <c r="X50" s="475"/>
    </row>
    <row r="51" spans="1:24" ht="45">
      <c r="A51" s="478"/>
      <c r="B51" s="476"/>
      <c r="C51" s="357" t="s">
        <v>434</v>
      </c>
      <c r="D51" s="360" t="s">
        <v>435</v>
      </c>
      <c r="E51" s="359">
        <v>-1</v>
      </c>
      <c r="F51" s="360" t="s">
        <v>92</v>
      </c>
      <c r="G51" s="365">
        <v>20000</v>
      </c>
      <c r="H51" s="353">
        <f>K51</f>
        <v>-20000</v>
      </c>
      <c r="I51" s="353"/>
      <c r="J51" s="353"/>
      <c r="K51" s="353">
        <f t="shared" si="0"/>
        <v>-20000</v>
      </c>
      <c r="L51" s="365">
        <v>-20000</v>
      </c>
      <c r="M51" s="362">
        <v>43007</v>
      </c>
      <c r="N51" s="365"/>
      <c r="O51" s="363"/>
      <c r="P51" s="378"/>
      <c r="Q51" s="362"/>
      <c r="R51" s="374" t="s">
        <v>436</v>
      </c>
      <c r="S51" s="483"/>
      <c r="T51" s="484"/>
      <c r="U51" s="475" t="s">
        <v>377</v>
      </c>
      <c r="V51" s="475" t="s">
        <v>378</v>
      </c>
      <c r="W51" s="475" t="s">
        <v>379</v>
      </c>
      <c r="X51" s="475"/>
    </row>
    <row r="52" spans="1:24" ht="105">
      <c r="A52" s="478"/>
      <c r="B52" s="476"/>
      <c r="C52" s="357" t="s">
        <v>437</v>
      </c>
      <c r="D52" s="360" t="s">
        <v>438</v>
      </c>
      <c r="E52" s="359">
        <v>-1</v>
      </c>
      <c r="F52" s="360" t="s">
        <v>92</v>
      </c>
      <c r="G52" s="365">
        <v>10000</v>
      </c>
      <c r="H52" s="353">
        <f>L52</f>
        <v>-10000</v>
      </c>
      <c r="I52" s="353"/>
      <c r="J52" s="353"/>
      <c r="K52" s="353">
        <f t="shared" si="0"/>
        <v>-10000</v>
      </c>
      <c r="L52" s="365">
        <v>-10000</v>
      </c>
      <c r="M52" s="362">
        <v>43007</v>
      </c>
      <c r="N52" s="378"/>
      <c r="O52" s="363"/>
      <c r="P52" s="378"/>
      <c r="Q52" s="362"/>
      <c r="R52" s="374" t="s">
        <v>439</v>
      </c>
      <c r="S52" s="483"/>
      <c r="T52" s="484"/>
      <c r="U52" s="475" t="s">
        <v>440</v>
      </c>
      <c r="V52" s="475" t="s">
        <v>378</v>
      </c>
      <c r="W52" s="475" t="s">
        <v>410</v>
      </c>
      <c r="X52" s="475"/>
    </row>
    <row r="53" spans="1:24" ht="30">
      <c r="A53" s="478"/>
      <c r="B53" s="476"/>
      <c r="C53" s="357" t="s">
        <v>441</v>
      </c>
      <c r="D53" s="357" t="s">
        <v>442</v>
      </c>
      <c r="E53" s="359">
        <v>-350</v>
      </c>
      <c r="F53" s="360" t="s">
        <v>112</v>
      </c>
      <c r="G53" s="379">
        <v>150</v>
      </c>
      <c r="H53" s="353">
        <f>K53</f>
        <v>-52500</v>
      </c>
      <c r="I53" s="353"/>
      <c r="J53" s="353"/>
      <c r="K53" s="353">
        <f t="shared" si="0"/>
        <v>-52500</v>
      </c>
      <c r="L53" s="365">
        <f>K53</f>
        <v>-52500</v>
      </c>
      <c r="M53" s="362">
        <v>43007</v>
      </c>
      <c r="O53" s="363"/>
      <c r="P53" s="378"/>
      <c r="Q53" s="362"/>
      <c r="R53" s="374" t="s">
        <v>443</v>
      </c>
      <c r="S53" s="483"/>
      <c r="T53" s="484"/>
      <c r="U53" s="475" t="s">
        <v>444</v>
      </c>
      <c r="V53" s="475" t="s">
        <v>378</v>
      </c>
      <c r="W53" s="475" t="s">
        <v>379</v>
      </c>
      <c r="X53" s="475"/>
    </row>
    <row r="54" spans="1:24" ht="29.25" customHeight="1">
      <c r="A54" s="478"/>
      <c r="B54" s="476"/>
      <c r="C54" s="357" t="s">
        <v>445</v>
      </c>
      <c r="D54" s="357" t="s">
        <v>446</v>
      </c>
      <c r="E54" s="359">
        <v>-21</v>
      </c>
      <c r="F54" s="360" t="s">
        <v>89</v>
      </c>
      <c r="G54" s="379">
        <v>500</v>
      </c>
      <c r="H54" s="353">
        <f>K54</f>
        <v>-10500</v>
      </c>
      <c r="I54" s="353"/>
      <c r="J54" s="353"/>
      <c r="K54" s="353">
        <f t="shared" si="0"/>
        <v>-10500</v>
      </c>
      <c r="L54" s="353">
        <v>-10500</v>
      </c>
      <c r="M54" s="362">
        <v>43020</v>
      </c>
      <c r="N54" s="380"/>
      <c r="O54" s="363"/>
      <c r="P54" s="378"/>
      <c r="Q54" s="362"/>
      <c r="R54" s="374" t="s">
        <v>447</v>
      </c>
      <c r="S54" s="483"/>
      <c r="T54" s="484"/>
      <c r="U54" s="475"/>
      <c r="V54" s="475" t="s">
        <v>378</v>
      </c>
      <c r="W54" s="475" t="s">
        <v>379</v>
      </c>
      <c r="X54" s="475"/>
    </row>
    <row r="55" spans="1:24" ht="29.25" customHeight="1">
      <c r="A55" s="478"/>
      <c r="B55" s="476"/>
      <c r="C55" s="357" t="s">
        <v>448</v>
      </c>
      <c r="D55" s="357" t="s">
        <v>449</v>
      </c>
      <c r="E55" s="359"/>
      <c r="F55" s="360"/>
      <c r="G55" s="379"/>
      <c r="H55" s="353"/>
      <c r="I55" s="353"/>
      <c r="J55" s="353"/>
      <c r="K55" s="353"/>
      <c r="L55" s="365"/>
      <c r="M55" s="362"/>
      <c r="N55" s="380"/>
      <c r="O55" s="363"/>
      <c r="P55" s="378"/>
      <c r="Q55" s="362"/>
      <c r="R55" s="374" t="s">
        <v>450</v>
      </c>
      <c r="S55" s="483"/>
      <c r="T55" s="484"/>
      <c r="U55" s="475"/>
      <c r="V55" s="475" t="s">
        <v>378</v>
      </c>
      <c r="W55" s="475" t="s">
        <v>379</v>
      </c>
      <c r="X55" s="475"/>
    </row>
    <row r="56" spans="1:24">
      <c r="A56" s="478"/>
      <c r="B56" s="476"/>
      <c r="C56" s="357" t="s">
        <v>451</v>
      </c>
      <c r="D56" s="360" t="s">
        <v>452</v>
      </c>
      <c r="E56" s="359">
        <v>-1</v>
      </c>
      <c r="F56" s="360" t="s">
        <v>92</v>
      </c>
      <c r="G56" s="379">
        <f>-'[16]VE Backup'!T15</f>
        <v>8547</v>
      </c>
      <c r="H56" s="353">
        <f>K56</f>
        <v>-8547</v>
      </c>
      <c r="I56" s="353"/>
      <c r="J56" s="353"/>
      <c r="K56" s="353">
        <f t="shared" ref="K56:K75" si="1">G56*E56</f>
        <v>-8547</v>
      </c>
      <c r="L56" s="365">
        <v>-8547</v>
      </c>
      <c r="M56" s="362">
        <v>43007</v>
      </c>
      <c r="N56" s="365"/>
      <c r="O56" s="363"/>
      <c r="P56" s="378"/>
      <c r="Q56" s="362"/>
      <c r="R56" s="374"/>
      <c r="S56" s="483"/>
      <c r="T56" s="484"/>
      <c r="U56" s="475" t="s">
        <v>377</v>
      </c>
      <c r="V56" s="475" t="s">
        <v>378</v>
      </c>
      <c r="W56" s="475" t="s">
        <v>379</v>
      </c>
      <c r="X56" s="475"/>
    </row>
    <row r="57" spans="1:24" ht="30">
      <c r="A57" s="478"/>
      <c r="B57" s="476"/>
      <c r="C57" s="357" t="s">
        <v>453</v>
      </c>
      <c r="D57" s="360" t="s">
        <v>454</v>
      </c>
      <c r="E57" s="359">
        <v>-1</v>
      </c>
      <c r="F57" s="360" t="s">
        <v>92</v>
      </c>
      <c r="G57" s="379">
        <f>51734-10148</f>
        <v>41586</v>
      </c>
      <c r="H57" s="353">
        <f>K57</f>
        <v>-41586</v>
      </c>
      <c r="I57" s="353"/>
      <c r="J57" s="353"/>
      <c r="K57" s="353">
        <f t="shared" si="1"/>
        <v>-41586</v>
      </c>
      <c r="L57" s="365">
        <v>-41586</v>
      </c>
      <c r="M57" s="362">
        <v>43007</v>
      </c>
      <c r="N57" s="365"/>
      <c r="O57" s="363"/>
      <c r="P57" s="378"/>
      <c r="Q57" s="362"/>
      <c r="R57" s="374" t="s">
        <v>455</v>
      </c>
      <c r="S57" s="483"/>
      <c r="T57" s="484"/>
      <c r="U57" s="475" t="s">
        <v>377</v>
      </c>
      <c r="V57" s="475" t="s">
        <v>378</v>
      </c>
      <c r="W57" s="475" t="s">
        <v>456</v>
      </c>
      <c r="X57" s="475"/>
    </row>
    <row r="58" spans="1:24" ht="75">
      <c r="A58" s="478"/>
      <c r="B58" s="476"/>
      <c r="C58" s="357" t="s">
        <v>457</v>
      </c>
      <c r="D58" s="360" t="s">
        <v>458</v>
      </c>
      <c r="E58" s="359">
        <f>1472+3409</f>
        <v>4881</v>
      </c>
      <c r="F58" s="360" t="s">
        <v>87</v>
      </c>
      <c r="G58" s="381">
        <v>-4.4000000000000004</v>
      </c>
      <c r="H58" s="353">
        <f>L58</f>
        <v>-21476.400000000001</v>
      </c>
      <c r="I58" s="353"/>
      <c r="J58" s="353"/>
      <c r="K58" s="353">
        <f t="shared" si="1"/>
        <v>-21476.400000000001</v>
      </c>
      <c r="L58" s="365">
        <f>K58</f>
        <v>-21476.400000000001</v>
      </c>
      <c r="M58" s="362">
        <v>43019</v>
      </c>
      <c r="N58" s="365"/>
      <c r="O58" s="363"/>
      <c r="P58" s="378"/>
      <c r="Q58" s="362"/>
      <c r="R58" s="374" t="s">
        <v>459</v>
      </c>
      <c r="S58" s="483"/>
      <c r="T58" s="484"/>
      <c r="U58" s="475" t="s">
        <v>460</v>
      </c>
      <c r="V58" s="475" t="s">
        <v>378</v>
      </c>
      <c r="W58" s="475" t="s">
        <v>410</v>
      </c>
      <c r="X58" s="475"/>
    </row>
    <row r="59" spans="1:24" ht="60" hidden="1">
      <c r="A59" s="478"/>
      <c r="B59" s="476"/>
      <c r="C59" s="357" t="s">
        <v>461</v>
      </c>
      <c r="D59" s="360" t="s">
        <v>462</v>
      </c>
      <c r="E59" s="359">
        <v>13375</v>
      </c>
      <c r="F59" s="360" t="s">
        <v>87</v>
      </c>
      <c r="G59" s="381">
        <v>-2</v>
      </c>
      <c r="H59" s="353"/>
      <c r="I59" s="353"/>
      <c r="J59" s="353"/>
      <c r="K59" s="353">
        <f t="shared" si="1"/>
        <v>-26750</v>
      </c>
      <c r="L59" s="365"/>
      <c r="M59" s="362"/>
      <c r="N59" s="365"/>
      <c r="O59" s="363"/>
      <c r="P59" s="365">
        <f>K59</f>
        <v>-26750</v>
      </c>
      <c r="Q59" s="362">
        <v>43039</v>
      </c>
      <c r="R59" s="374" t="s">
        <v>463</v>
      </c>
      <c r="S59" s="488"/>
      <c r="T59" s="489"/>
      <c r="U59" s="477" t="s">
        <v>464</v>
      </c>
      <c r="V59" s="475" t="s">
        <v>378</v>
      </c>
      <c r="W59" s="475"/>
      <c r="X59" s="475"/>
    </row>
    <row r="60" spans="1:24">
      <c r="A60" s="478"/>
      <c r="B60" s="476"/>
      <c r="C60" s="357" t="s">
        <v>465</v>
      </c>
      <c r="D60" s="360" t="s">
        <v>217</v>
      </c>
      <c r="E60" s="359">
        <v>2196</v>
      </c>
      <c r="F60" s="360" t="s">
        <v>87</v>
      </c>
      <c r="G60" s="381">
        <v>-4.25</v>
      </c>
      <c r="H60" s="353">
        <f>K60</f>
        <v>-9333</v>
      </c>
      <c r="I60" s="353"/>
      <c r="J60" s="353"/>
      <c r="K60" s="353">
        <f t="shared" si="1"/>
        <v>-9333</v>
      </c>
      <c r="L60" s="365">
        <v>-9333</v>
      </c>
      <c r="M60" s="362">
        <v>43007</v>
      </c>
      <c r="N60" s="365"/>
      <c r="O60" s="363"/>
      <c r="P60" s="378"/>
      <c r="Q60" s="362"/>
      <c r="R60" s="374"/>
      <c r="S60" s="483"/>
      <c r="T60" s="484"/>
      <c r="U60" s="475" t="s">
        <v>377</v>
      </c>
      <c r="V60" s="475" t="s">
        <v>378</v>
      </c>
      <c r="W60" s="475" t="s">
        <v>379</v>
      </c>
      <c r="X60" s="475"/>
    </row>
    <row r="61" spans="1:24">
      <c r="A61" s="478"/>
      <c r="B61" s="476"/>
      <c r="C61" s="357" t="s">
        <v>466</v>
      </c>
      <c r="D61" s="360" t="s">
        <v>467</v>
      </c>
      <c r="E61" s="359">
        <v>-1</v>
      </c>
      <c r="F61" s="360" t="s">
        <v>92</v>
      </c>
      <c r="G61" s="379">
        <v>58540</v>
      </c>
      <c r="H61" s="353">
        <f>L61</f>
        <v>-58540</v>
      </c>
      <c r="I61" s="353"/>
      <c r="J61" s="353"/>
      <c r="K61" s="353">
        <f t="shared" si="1"/>
        <v>-58540</v>
      </c>
      <c r="L61" s="365">
        <v>-58540</v>
      </c>
      <c r="M61" s="362">
        <v>43007</v>
      </c>
      <c r="N61" s="365"/>
      <c r="O61" s="363"/>
      <c r="P61" s="363"/>
      <c r="Q61" s="362"/>
      <c r="R61" s="374" t="s">
        <v>468</v>
      </c>
      <c r="S61" s="483"/>
      <c r="T61" s="484"/>
      <c r="U61" s="475" t="s">
        <v>377</v>
      </c>
      <c r="V61" s="475" t="s">
        <v>378</v>
      </c>
      <c r="W61" s="475" t="s">
        <v>379</v>
      </c>
      <c r="X61" s="475"/>
    </row>
    <row r="62" spans="1:24" hidden="1">
      <c r="A62" s="478"/>
      <c r="B62" s="476"/>
      <c r="C62" s="357" t="s">
        <v>469</v>
      </c>
      <c r="D62" s="360" t="s">
        <v>470</v>
      </c>
      <c r="E62" s="359">
        <v>1</v>
      </c>
      <c r="F62" s="360" t="s">
        <v>92</v>
      </c>
      <c r="G62" s="379">
        <f>'[16]VE Backup'!T36</f>
        <v>-22619.85</v>
      </c>
      <c r="H62" s="353"/>
      <c r="I62" s="353"/>
      <c r="J62" s="353"/>
      <c r="K62" s="353">
        <f t="shared" si="1"/>
        <v>-22619.85</v>
      </c>
      <c r="L62" s="365"/>
      <c r="M62" s="362"/>
      <c r="N62" s="365"/>
      <c r="O62" s="363"/>
      <c r="P62" s="361">
        <v>-22619.85</v>
      </c>
      <c r="Q62" s="362">
        <v>43007</v>
      </c>
      <c r="R62" s="374" t="s">
        <v>471</v>
      </c>
      <c r="S62" s="483"/>
      <c r="T62" s="484"/>
      <c r="U62" s="477" t="s">
        <v>311</v>
      </c>
      <c r="V62" s="475" t="s">
        <v>378</v>
      </c>
      <c r="W62" s="475"/>
      <c r="X62" s="475"/>
    </row>
    <row r="63" spans="1:24" hidden="1">
      <c r="A63" s="478"/>
      <c r="B63" s="476"/>
      <c r="C63" s="357" t="s">
        <v>472</v>
      </c>
      <c r="D63" s="360" t="s">
        <v>473</v>
      </c>
      <c r="E63" s="359"/>
      <c r="F63" s="360"/>
      <c r="G63" s="379"/>
      <c r="H63" s="353"/>
      <c r="I63" s="353"/>
      <c r="J63" s="353"/>
      <c r="K63" s="353">
        <f t="shared" si="1"/>
        <v>0</v>
      </c>
      <c r="L63" s="365"/>
      <c r="M63" s="362"/>
      <c r="N63" s="365"/>
      <c r="O63" s="363"/>
      <c r="P63" s="382"/>
      <c r="Q63" s="362">
        <v>43007</v>
      </c>
      <c r="R63" s="374" t="s">
        <v>471</v>
      </c>
      <c r="S63" s="483"/>
      <c r="T63" s="484"/>
      <c r="U63" s="477" t="s">
        <v>311</v>
      </c>
      <c r="V63" s="475" t="s">
        <v>378</v>
      </c>
      <c r="W63" s="475"/>
      <c r="X63" s="475"/>
    </row>
    <row r="64" spans="1:24" hidden="1">
      <c r="A64" s="478"/>
      <c r="B64" s="476"/>
      <c r="C64" s="357" t="s">
        <v>474</v>
      </c>
      <c r="D64" s="360" t="s">
        <v>475</v>
      </c>
      <c r="E64" s="359"/>
      <c r="F64" s="360"/>
      <c r="G64" s="379"/>
      <c r="H64" s="353"/>
      <c r="I64" s="353"/>
      <c r="J64" s="353"/>
      <c r="K64" s="353">
        <f t="shared" si="1"/>
        <v>0</v>
      </c>
      <c r="L64" s="365"/>
      <c r="M64" s="362"/>
      <c r="N64" s="365"/>
      <c r="O64" s="363"/>
      <c r="P64" s="363"/>
      <c r="Q64" s="362">
        <v>43007</v>
      </c>
      <c r="R64" s="374" t="s">
        <v>471</v>
      </c>
      <c r="S64" s="483"/>
      <c r="T64" s="484"/>
      <c r="U64" s="477" t="s">
        <v>311</v>
      </c>
      <c r="V64" s="475" t="s">
        <v>378</v>
      </c>
      <c r="W64" s="475"/>
      <c r="X64" s="475"/>
    </row>
    <row r="65" spans="1:24" ht="30">
      <c r="A65" s="478"/>
      <c r="B65" s="476"/>
      <c r="C65" s="357" t="s">
        <v>476</v>
      </c>
      <c r="D65" s="360" t="s">
        <v>477</v>
      </c>
      <c r="E65" s="359">
        <v>-1</v>
      </c>
      <c r="F65" s="360" t="s">
        <v>92</v>
      </c>
      <c r="G65" s="379">
        <f>6350*2</f>
        <v>12700</v>
      </c>
      <c r="H65" s="353">
        <f>L65</f>
        <v>-12700</v>
      </c>
      <c r="I65" s="353"/>
      <c r="J65" s="353"/>
      <c r="K65" s="353">
        <f t="shared" si="1"/>
        <v>-12700</v>
      </c>
      <c r="L65" s="365">
        <v>-12700</v>
      </c>
      <c r="M65" s="362">
        <v>43007</v>
      </c>
      <c r="N65" s="365"/>
      <c r="O65" s="363"/>
      <c r="P65" s="363"/>
      <c r="Q65" s="362"/>
      <c r="R65" s="374" t="s">
        <v>65</v>
      </c>
      <c r="S65" s="483"/>
      <c r="T65" s="484"/>
      <c r="U65" s="477" t="s">
        <v>478</v>
      </c>
      <c r="V65" s="475" t="s">
        <v>378</v>
      </c>
      <c r="W65" s="475" t="s">
        <v>379</v>
      </c>
      <c r="X65" s="475"/>
    </row>
    <row r="66" spans="1:24" ht="30">
      <c r="A66" s="478"/>
      <c r="B66" s="476"/>
      <c r="C66" s="357" t="s">
        <v>479</v>
      </c>
      <c r="D66" s="357" t="s">
        <v>480</v>
      </c>
      <c r="E66" s="359">
        <v>-1</v>
      </c>
      <c r="F66" s="360" t="s">
        <v>92</v>
      </c>
      <c r="G66" s="379">
        <v>4800</v>
      </c>
      <c r="H66" s="353">
        <f>K66</f>
        <v>-4800</v>
      </c>
      <c r="I66" s="353"/>
      <c r="J66" s="353"/>
      <c r="K66" s="353">
        <f t="shared" si="1"/>
        <v>-4800</v>
      </c>
      <c r="L66" s="365">
        <v>-4800</v>
      </c>
      <c r="M66" s="362">
        <v>43007</v>
      </c>
      <c r="N66" s="365"/>
      <c r="O66" s="363"/>
      <c r="P66" s="363"/>
      <c r="Q66" s="362"/>
      <c r="R66" s="374"/>
      <c r="S66" s="483"/>
      <c r="T66" s="484"/>
      <c r="U66" s="475" t="s">
        <v>377</v>
      </c>
      <c r="V66" s="475" t="s">
        <v>378</v>
      </c>
      <c r="W66" s="475" t="s">
        <v>379</v>
      </c>
      <c r="X66" s="475"/>
    </row>
    <row r="67" spans="1:24" ht="30">
      <c r="A67" s="478"/>
      <c r="B67" s="476"/>
      <c r="C67" s="357" t="s">
        <v>481</v>
      </c>
      <c r="D67" s="476" t="s">
        <v>482</v>
      </c>
      <c r="E67" s="359">
        <v>-1</v>
      </c>
      <c r="F67" s="360" t="s">
        <v>92</v>
      </c>
      <c r="G67" s="379">
        <v>10000</v>
      </c>
      <c r="H67" s="353"/>
      <c r="I67" s="353">
        <f>K67</f>
        <v>-10000</v>
      </c>
      <c r="J67" s="353"/>
      <c r="K67" s="353">
        <f t="shared" si="1"/>
        <v>-10000</v>
      </c>
      <c r="L67" s="365"/>
      <c r="M67" s="362"/>
      <c r="N67" s="365">
        <f>K67</f>
        <v>-10000</v>
      </c>
      <c r="O67" s="363"/>
      <c r="P67" s="365"/>
      <c r="Q67" s="362"/>
      <c r="R67" s="374"/>
      <c r="S67" s="488"/>
      <c r="T67" s="489"/>
      <c r="U67" s="477"/>
      <c r="V67" s="475" t="s">
        <v>378</v>
      </c>
      <c r="W67" s="475" t="s">
        <v>379</v>
      </c>
      <c r="X67" s="475"/>
    </row>
    <row r="68" spans="1:24" ht="30">
      <c r="A68" s="478"/>
      <c r="B68" s="476"/>
      <c r="C68" s="357" t="s">
        <v>483</v>
      </c>
      <c r="D68" s="360" t="s">
        <v>484</v>
      </c>
      <c r="E68" s="359"/>
      <c r="F68" s="360"/>
      <c r="G68" s="379"/>
      <c r="H68" s="353"/>
      <c r="I68" s="353"/>
      <c r="J68" s="353"/>
      <c r="K68" s="353">
        <f t="shared" si="1"/>
        <v>0</v>
      </c>
      <c r="L68" s="365"/>
      <c r="M68" s="362"/>
      <c r="N68" s="365"/>
      <c r="O68" s="363"/>
      <c r="P68" s="365"/>
      <c r="Q68" s="362"/>
      <c r="R68" s="374"/>
      <c r="S68" s="488"/>
      <c r="T68" s="489"/>
      <c r="U68" s="477" t="s">
        <v>485</v>
      </c>
      <c r="V68" s="475" t="s">
        <v>486</v>
      </c>
      <c r="W68" s="475" t="s">
        <v>487</v>
      </c>
      <c r="X68" s="475"/>
    </row>
    <row r="69" spans="1:24">
      <c r="A69" s="478"/>
      <c r="B69" s="476"/>
      <c r="C69" s="383" t="s">
        <v>488</v>
      </c>
      <c r="D69" s="360" t="s">
        <v>489</v>
      </c>
      <c r="E69" s="359">
        <v>-84</v>
      </c>
      <c r="F69" s="360" t="s">
        <v>87</v>
      </c>
      <c r="G69" s="379">
        <v>33</v>
      </c>
      <c r="H69" s="353">
        <f>K69</f>
        <v>-2772</v>
      </c>
      <c r="I69" s="353"/>
      <c r="J69" s="353"/>
      <c r="K69" s="353">
        <f t="shared" si="1"/>
        <v>-2772</v>
      </c>
      <c r="L69" s="365"/>
      <c r="M69" s="362"/>
      <c r="N69" s="365"/>
      <c r="O69" s="363"/>
      <c r="P69" s="365">
        <f t="shared" ref="P69:P75" si="2">K69</f>
        <v>-2772</v>
      </c>
      <c r="Q69" s="362"/>
      <c r="R69" s="374"/>
      <c r="S69" s="488"/>
      <c r="T69" s="489"/>
      <c r="U69" s="477"/>
      <c r="V69" s="475" t="s">
        <v>486</v>
      </c>
      <c r="W69" s="475" t="s">
        <v>487</v>
      </c>
      <c r="X69" s="475"/>
    </row>
    <row r="70" spans="1:24">
      <c r="A70" s="478"/>
      <c r="B70" s="476"/>
      <c r="C70" s="383" t="s">
        <v>490</v>
      </c>
      <c r="D70" s="360" t="s">
        <v>491</v>
      </c>
      <c r="E70" s="359">
        <v>-8</v>
      </c>
      <c r="F70" s="360" t="s">
        <v>112</v>
      </c>
      <c r="G70" s="379">
        <v>650</v>
      </c>
      <c r="H70" s="353">
        <f t="shared" ref="H70:H75" si="3">K70</f>
        <v>-5200</v>
      </c>
      <c r="I70" s="353"/>
      <c r="J70" s="353"/>
      <c r="K70" s="353">
        <f t="shared" si="1"/>
        <v>-5200</v>
      </c>
      <c r="L70" s="365"/>
      <c r="M70" s="362"/>
      <c r="N70" s="365"/>
      <c r="O70" s="363"/>
      <c r="P70" s="365">
        <f t="shared" si="2"/>
        <v>-5200</v>
      </c>
      <c r="Q70" s="362"/>
      <c r="R70" s="374"/>
      <c r="S70" s="488"/>
      <c r="T70" s="489"/>
      <c r="U70" s="477"/>
      <c r="V70" s="475" t="s">
        <v>486</v>
      </c>
      <c r="W70" s="475" t="s">
        <v>487</v>
      </c>
      <c r="X70" s="475"/>
    </row>
    <row r="71" spans="1:24">
      <c r="A71" s="478"/>
      <c r="B71" s="476"/>
      <c r="C71" s="383" t="s">
        <v>492</v>
      </c>
      <c r="D71" s="360" t="s">
        <v>493</v>
      </c>
      <c r="E71" s="359">
        <v>-7</v>
      </c>
      <c r="F71" s="360" t="s">
        <v>112</v>
      </c>
      <c r="G71" s="379">
        <v>350</v>
      </c>
      <c r="H71" s="353">
        <f t="shared" si="3"/>
        <v>-2450</v>
      </c>
      <c r="I71" s="353"/>
      <c r="J71" s="353"/>
      <c r="K71" s="353">
        <f t="shared" si="1"/>
        <v>-2450</v>
      </c>
      <c r="L71" s="365"/>
      <c r="M71" s="362"/>
      <c r="N71" s="365"/>
      <c r="O71" s="363"/>
      <c r="P71" s="365">
        <f t="shared" si="2"/>
        <v>-2450</v>
      </c>
      <c r="Q71" s="362"/>
      <c r="R71" s="374"/>
      <c r="S71" s="488"/>
      <c r="T71" s="489"/>
      <c r="U71" s="477"/>
      <c r="V71" s="475" t="s">
        <v>486</v>
      </c>
      <c r="W71" s="475" t="s">
        <v>487</v>
      </c>
      <c r="X71" s="475"/>
    </row>
    <row r="72" spans="1:24">
      <c r="A72" s="478"/>
      <c r="B72" s="476"/>
      <c r="C72" s="383" t="s">
        <v>494</v>
      </c>
      <c r="D72" s="360" t="s">
        <v>495</v>
      </c>
      <c r="E72" s="384">
        <f>-(20/12)</f>
        <v>-1.6666666666666667</v>
      </c>
      <c r="F72" s="360" t="s">
        <v>112</v>
      </c>
      <c r="G72" s="379">
        <v>350</v>
      </c>
      <c r="H72" s="353">
        <f t="shared" si="3"/>
        <v>-583.33333333333337</v>
      </c>
      <c r="I72" s="353"/>
      <c r="J72" s="353"/>
      <c r="K72" s="353">
        <f t="shared" si="1"/>
        <v>-583.33333333333337</v>
      </c>
      <c r="L72" s="365"/>
      <c r="M72" s="362"/>
      <c r="N72" s="365"/>
      <c r="O72" s="363"/>
      <c r="P72" s="365">
        <f t="shared" si="2"/>
        <v>-583.33333333333337</v>
      </c>
      <c r="Q72" s="362"/>
      <c r="R72" s="374"/>
      <c r="S72" s="488"/>
      <c r="T72" s="489"/>
      <c r="U72" s="477"/>
      <c r="V72" s="475" t="s">
        <v>486</v>
      </c>
      <c r="W72" s="475" t="s">
        <v>487</v>
      </c>
      <c r="X72" s="475"/>
    </row>
    <row r="73" spans="1:24">
      <c r="A73" s="478"/>
      <c r="B73" s="476"/>
      <c r="C73" s="383" t="s">
        <v>496</v>
      </c>
      <c r="D73" s="360" t="s">
        <v>497</v>
      </c>
      <c r="E73" s="359">
        <v>-1</v>
      </c>
      <c r="F73" s="360" t="s">
        <v>89</v>
      </c>
      <c r="G73" s="379">
        <v>1400</v>
      </c>
      <c r="H73" s="353">
        <f t="shared" si="3"/>
        <v>-1400</v>
      </c>
      <c r="I73" s="353"/>
      <c r="J73" s="353"/>
      <c r="K73" s="353">
        <f t="shared" si="1"/>
        <v>-1400</v>
      </c>
      <c r="L73" s="365"/>
      <c r="M73" s="362"/>
      <c r="N73" s="365"/>
      <c r="O73" s="363"/>
      <c r="P73" s="365">
        <f t="shared" si="2"/>
        <v>-1400</v>
      </c>
      <c r="Q73" s="362"/>
      <c r="R73" s="374"/>
      <c r="S73" s="488"/>
      <c r="T73" s="489"/>
      <c r="U73" s="477"/>
      <c r="V73" s="475" t="s">
        <v>486</v>
      </c>
      <c r="W73" s="475" t="s">
        <v>487</v>
      </c>
      <c r="X73" s="475"/>
    </row>
    <row r="74" spans="1:24">
      <c r="A74" s="478"/>
      <c r="B74" s="476"/>
      <c r="C74" s="383" t="s">
        <v>498</v>
      </c>
      <c r="D74" s="360" t="s">
        <v>499</v>
      </c>
      <c r="E74" s="359">
        <v>-1</v>
      </c>
      <c r="F74" s="360" t="s">
        <v>89</v>
      </c>
      <c r="G74" s="379">
        <v>250</v>
      </c>
      <c r="H74" s="353">
        <f t="shared" si="3"/>
        <v>-250</v>
      </c>
      <c r="I74" s="353"/>
      <c r="J74" s="353"/>
      <c r="K74" s="353">
        <f t="shared" si="1"/>
        <v>-250</v>
      </c>
      <c r="L74" s="365"/>
      <c r="M74" s="362"/>
      <c r="N74" s="365"/>
      <c r="O74" s="363"/>
      <c r="P74" s="365">
        <f t="shared" si="2"/>
        <v>-250</v>
      </c>
      <c r="Q74" s="362"/>
      <c r="R74" s="374"/>
      <c r="S74" s="488"/>
      <c r="T74" s="489"/>
      <c r="U74" s="477"/>
      <c r="V74" s="475" t="s">
        <v>486</v>
      </c>
      <c r="W74" s="475" t="s">
        <v>487</v>
      </c>
      <c r="X74" s="475"/>
    </row>
    <row r="75" spans="1:24">
      <c r="A75" s="478"/>
      <c r="B75" s="476"/>
      <c r="C75" s="383" t="s">
        <v>500</v>
      </c>
      <c r="D75" s="360" t="s">
        <v>501</v>
      </c>
      <c r="E75" s="359">
        <v>-9</v>
      </c>
      <c r="F75" s="360" t="s">
        <v>89</v>
      </c>
      <c r="G75" s="379">
        <v>450</v>
      </c>
      <c r="H75" s="353">
        <f t="shared" si="3"/>
        <v>-4050</v>
      </c>
      <c r="I75" s="353"/>
      <c r="J75" s="353"/>
      <c r="K75" s="353">
        <f t="shared" si="1"/>
        <v>-4050</v>
      </c>
      <c r="L75" s="365"/>
      <c r="M75" s="362"/>
      <c r="N75" s="365"/>
      <c r="O75" s="363"/>
      <c r="P75" s="365">
        <f t="shared" si="2"/>
        <v>-4050</v>
      </c>
      <c r="Q75" s="362"/>
      <c r="R75" s="374"/>
      <c r="S75" s="488"/>
      <c r="T75" s="489"/>
      <c r="U75" s="477"/>
      <c r="V75" s="475" t="s">
        <v>486</v>
      </c>
      <c r="W75" s="475" t="s">
        <v>487</v>
      </c>
      <c r="X75" s="475"/>
    </row>
    <row r="76" spans="1:24">
      <c r="A76" s="478"/>
      <c r="B76" s="476"/>
      <c r="C76" s="357"/>
      <c r="D76" s="360"/>
      <c r="E76" s="359"/>
      <c r="F76" s="360"/>
      <c r="G76" s="379"/>
      <c r="H76" s="353"/>
      <c r="I76" s="353"/>
      <c r="J76" s="353"/>
      <c r="K76" s="353"/>
      <c r="L76" s="365"/>
      <c r="M76" s="362"/>
      <c r="N76" s="365"/>
      <c r="O76" s="363"/>
      <c r="P76" s="363"/>
      <c r="Q76" s="362"/>
      <c r="R76" s="374"/>
      <c r="S76" s="488"/>
      <c r="T76" s="489"/>
      <c r="U76" s="477"/>
      <c r="V76" s="477"/>
      <c r="W76" s="477"/>
      <c r="X76" s="477"/>
    </row>
    <row r="77" spans="1:24">
      <c r="A77" s="478"/>
      <c r="B77" s="476"/>
      <c r="C77" s="357"/>
      <c r="D77" s="360"/>
      <c r="E77" s="359"/>
      <c r="F77" s="360"/>
      <c r="G77" s="379"/>
      <c r="H77" s="353"/>
      <c r="I77" s="353"/>
      <c r="J77" s="353"/>
      <c r="K77" s="353"/>
      <c r="L77" s="365"/>
      <c r="M77" s="362"/>
      <c r="N77" s="365"/>
      <c r="O77" s="363"/>
      <c r="P77" s="363"/>
      <c r="Q77" s="362"/>
      <c r="R77" s="374"/>
      <c r="S77" s="488"/>
      <c r="T77" s="489"/>
      <c r="U77" s="477"/>
      <c r="V77" s="477"/>
      <c r="W77" s="477"/>
      <c r="X77" s="477"/>
    </row>
    <row r="78" spans="1:24" ht="45">
      <c r="A78" s="478"/>
      <c r="B78" s="476"/>
      <c r="C78" s="357" t="s">
        <v>502</v>
      </c>
      <c r="D78" s="357" t="s">
        <v>503</v>
      </c>
      <c r="E78" s="359">
        <f>-(471+1924+1924+1453+3619+3619+471+471+471+470+470+470+1695+1695+1585+132+1453+470+1695+470+132+470+1453+1923+470+470+132+132+470+470)*0.33</f>
        <v>-10279.5</v>
      </c>
      <c r="F78" s="360" t="s">
        <v>89</v>
      </c>
      <c r="G78" s="381">
        <v>2.95</v>
      </c>
      <c r="H78" s="385">
        <f>K78</f>
        <v>-30324.525000000001</v>
      </c>
      <c r="I78" s="385"/>
      <c r="J78" s="385"/>
      <c r="K78" s="385">
        <f>G78*E78</f>
        <v>-30324.525000000001</v>
      </c>
      <c r="L78" s="385">
        <v>-30324.53</v>
      </c>
      <c r="M78" s="362">
        <v>43020</v>
      </c>
      <c r="N78" s="365"/>
      <c r="O78" s="363"/>
      <c r="P78" s="363"/>
      <c r="Q78" s="363"/>
      <c r="R78" s="357"/>
      <c r="S78" s="476"/>
      <c r="T78" s="477"/>
      <c r="U78" s="475" t="s">
        <v>504</v>
      </c>
      <c r="V78" s="475" t="s">
        <v>505</v>
      </c>
      <c r="W78" s="475" t="s">
        <v>379</v>
      </c>
      <c r="X78" s="475"/>
    </row>
    <row r="79" spans="1:24" ht="30">
      <c r="A79" s="478"/>
      <c r="B79" s="476"/>
      <c r="C79" s="357" t="s">
        <v>506</v>
      </c>
      <c r="D79" s="360" t="s">
        <v>507</v>
      </c>
      <c r="E79" s="359">
        <v>-1</v>
      </c>
      <c r="F79" s="360" t="s">
        <v>92</v>
      </c>
      <c r="G79" s="365"/>
      <c r="H79" s="353"/>
      <c r="I79" s="353"/>
      <c r="J79" s="353"/>
      <c r="K79" s="353"/>
      <c r="L79" s="365"/>
      <c r="M79" s="362"/>
      <c r="N79" s="365"/>
      <c r="O79" s="363"/>
      <c r="P79" s="363"/>
      <c r="Q79" s="362"/>
      <c r="R79" s="374" t="s">
        <v>508</v>
      </c>
      <c r="S79" s="483"/>
      <c r="T79" s="484"/>
      <c r="U79" s="477" t="s">
        <v>509</v>
      </c>
      <c r="V79" s="475" t="s">
        <v>378</v>
      </c>
      <c r="W79" s="475"/>
      <c r="X79" s="475"/>
    </row>
    <row r="80" spans="1:24">
      <c r="A80" s="478"/>
      <c r="B80" s="476"/>
      <c r="C80" s="383" t="s">
        <v>510</v>
      </c>
      <c r="D80" s="386" t="s">
        <v>511</v>
      </c>
      <c r="E80" s="359">
        <v>-1</v>
      </c>
      <c r="F80" s="360" t="s">
        <v>89</v>
      </c>
      <c r="G80" s="365">
        <v>4140</v>
      </c>
      <c r="H80" s="353">
        <f>K80</f>
        <v>-4140</v>
      </c>
      <c r="I80" s="353"/>
      <c r="J80" s="353"/>
      <c r="K80" s="353">
        <f t="shared" ref="K80:K142" si="4">G80*E80</f>
        <v>-4140</v>
      </c>
      <c r="L80" s="365">
        <f>K80</f>
        <v>-4140</v>
      </c>
      <c r="M80" s="362">
        <v>43019</v>
      </c>
      <c r="N80" s="365"/>
      <c r="O80" s="363"/>
      <c r="P80" s="363"/>
      <c r="Q80" s="362"/>
      <c r="R80" s="374" t="s">
        <v>512</v>
      </c>
      <c r="S80" s="483"/>
      <c r="T80" s="484"/>
      <c r="U80" s="477"/>
      <c r="V80" s="475" t="s">
        <v>378</v>
      </c>
      <c r="W80" s="475" t="s">
        <v>379</v>
      </c>
      <c r="X80" s="475"/>
    </row>
    <row r="81" spans="1:24">
      <c r="A81" s="478"/>
      <c r="B81" s="476"/>
      <c r="C81" s="383" t="s">
        <v>513</v>
      </c>
      <c r="D81" s="386" t="s">
        <v>514</v>
      </c>
      <c r="E81" s="359">
        <v>-1</v>
      </c>
      <c r="F81" s="360" t="s">
        <v>92</v>
      </c>
      <c r="G81" s="365">
        <f>80132-65412</f>
        <v>14720</v>
      </c>
      <c r="H81" s="353">
        <f>K81</f>
        <v>-14720</v>
      </c>
      <c r="I81" s="353"/>
      <c r="J81" s="353"/>
      <c r="K81" s="353">
        <f t="shared" si="4"/>
        <v>-14720</v>
      </c>
      <c r="L81" s="365">
        <f>K81</f>
        <v>-14720</v>
      </c>
      <c r="M81" s="362">
        <v>43019</v>
      </c>
      <c r="N81" s="365"/>
      <c r="O81" s="363"/>
      <c r="P81" s="363"/>
      <c r="Q81" s="362"/>
      <c r="R81" s="374" t="s">
        <v>512</v>
      </c>
      <c r="S81" s="483"/>
      <c r="T81" s="484"/>
      <c r="U81" s="477"/>
      <c r="V81" s="475" t="s">
        <v>378</v>
      </c>
      <c r="W81" s="475" t="s">
        <v>515</v>
      </c>
      <c r="X81" s="475"/>
    </row>
    <row r="82" spans="1:24">
      <c r="A82" s="478"/>
      <c r="B82" s="476"/>
      <c r="C82" s="383" t="s">
        <v>516</v>
      </c>
      <c r="D82" s="386" t="s">
        <v>517</v>
      </c>
      <c r="E82" s="359">
        <v>-60</v>
      </c>
      <c r="F82" s="360" t="s">
        <v>89</v>
      </c>
      <c r="G82" s="365"/>
      <c r="H82" s="353"/>
      <c r="I82" s="353"/>
      <c r="J82" s="353"/>
      <c r="K82" s="353">
        <f t="shared" si="4"/>
        <v>0</v>
      </c>
      <c r="L82" s="365"/>
      <c r="M82" s="362">
        <v>43019</v>
      </c>
      <c r="N82" s="365"/>
      <c r="O82" s="363"/>
      <c r="P82" s="363"/>
      <c r="Q82" s="362"/>
      <c r="R82" s="374" t="s">
        <v>518</v>
      </c>
      <c r="S82" s="483"/>
      <c r="T82" s="484"/>
      <c r="U82" s="477"/>
      <c r="V82" s="475" t="s">
        <v>378</v>
      </c>
      <c r="W82" s="475" t="s">
        <v>379</v>
      </c>
      <c r="X82" s="475"/>
    </row>
    <row r="83" spans="1:24" hidden="1">
      <c r="A83" s="478"/>
      <c r="B83" s="476"/>
      <c r="C83" s="383" t="s">
        <v>519</v>
      </c>
      <c r="D83" s="386" t="s">
        <v>520</v>
      </c>
      <c r="E83" s="359">
        <v>1</v>
      </c>
      <c r="F83" s="360" t="s">
        <v>89</v>
      </c>
      <c r="G83" s="365">
        <f>8625-4370</f>
        <v>4255</v>
      </c>
      <c r="H83" s="353"/>
      <c r="I83" s="353"/>
      <c r="J83" s="353"/>
      <c r="K83" s="353">
        <f t="shared" si="4"/>
        <v>4255</v>
      </c>
      <c r="L83" s="365"/>
      <c r="M83" s="362"/>
      <c r="N83" s="365"/>
      <c r="O83" s="363"/>
      <c r="P83" s="378">
        <f>K83</f>
        <v>4255</v>
      </c>
      <c r="Q83" s="362">
        <v>43019</v>
      </c>
      <c r="R83" s="374" t="s">
        <v>521</v>
      </c>
      <c r="S83" s="483"/>
      <c r="T83" s="484"/>
      <c r="U83" s="477"/>
      <c r="V83" s="477"/>
      <c r="W83" s="477"/>
      <c r="X83" s="477"/>
    </row>
    <row r="84" spans="1:24" hidden="1">
      <c r="A84" s="478"/>
      <c r="B84" s="476"/>
      <c r="C84" s="383" t="s">
        <v>522</v>
      </c>
      <c r="D84" s="386" t="s">
        <v>523</v>
      </c>
      <c r="E84" s="359">
        <v>-240</v>
      </c>
      <c r="F84" s="360" t="s">
        <v>112</v>
      </c>
      <c r="G84" s="365">
        <v>11.5</v>
      </c>
      <c r="H84" s="353"/>
      <c r="I84" s="353"/>
      <c r="J84" s="353"/>
      <c r="K84" s="353">
        <f t="shared" si="4"/>
        <v>-2760</v>
      </c>
      <c r="L84" s="365"/>
      <c r="M84" s="362"/>
      <c r="N84" s="365"/>
      <c r="O84" s="363"/>
      <c r="P84" s="361">
        <v>-2760</v>
      </c>
      <c r="Q84" s="362">
        <v>43020</v>
      </c>
      <c r="R84" s="374" t="s">
        <v>524</v>
      </c>
      <c r="S84" s="488"/>
      <c r="T84" s="489"/>
      <c r="U84" s="477"/>
      <c r="V84" s="477"/>
      <c r="W84" s="477"/>
      <c r="X84" s="477"/>
    </row>
    <row r="85" spans="1:24" hidden="1">
      <c r="A85" s="478"/>
      <c r="B85" s="476"/>
      <c r="C85" s="383" t="s">
        <v>525</v>
      </c>
      <c r="D85" s="386" t="s">
        <v>526</v>
      </c>
      <c r="E85" s="359">
        <v>-1</v>
      </c>
      <c r="F85" s="360" t="s">
        <v>92</v>
      </c>
      <c r="G85" s="365">
        <f>65412-43562</f>
        <v>21850</v>
      </c>
      <c r="H85" s="353"/>
      <c r="I85" s="353"/>
      <c r="J85" s="353"/>
      <c r="K85" s="353">
        <f t="shared" si="4"/>
        <v>-21850</v>
      </c>
      <c r="L85" s="365"/>
      <c r="M85" s="362"/>
      <c r="N85" s="365"/>
      <c r="O85" s="363"/>
      <c r="P85" s="378">
        <f>K85</f>
        <v>-21850</v>
      </c>
      <c r="Q85" s="362">
        <v>43011</v>
      </c>
      <c r="R85" s="374" t="s">
        <v>527</v>
      </c>
      <c r="S85" s="483"/>
      <c r="T85" s="484"/>
      <c r="U85" s="477"/>
      <c r="V85" s="477"/>
      <c r="W85" s="477"/>
      <c r="X85" s="477"/>
    </row>
    <row r="86" spans="1:24" ht="45" hidden="1">
      <c r="A86" s="478"/>
      <c r="B86" s="476"/>
      <c r="C86" s="383" t="s">
        <v>528</v>
      </c>
      <c r="D86" s="387" t="s">
        <v>529</v>
      </c>
      <c r="E86" s="359">
        <v>-2</v>
      </c>
      <c r="F86" s="360" t="s">
        <v>89</v>
      </c>
      <c r="G86" s="365">
        <v>200</v>
      </c>
      <c r="H86" s="353"/>
      <c r="I86" s="353"/>
      <c r="J86" s="353"/>
      <c r="K86" s="353">
        <f t="shared" si="4"/>
        <v>-400</v>
      </c>
      <c r="L86" s="365"/>
      <c r="M86" s="362"/>
      <c r="N86" s="365"/>
      <c r="O86" s="363"/>
      <c r="P86" s="365">
        <v>-400</v>
      </c>
      <c r="Q86" s="362">
        <v>43020</v>
      </c>
      <c r="R86" s="374" t="s">
        <v>530</v>
      </c>
      <c r="S86" s="488"/>
      <c r="T86" s="489"/>
      <c r="U86" s="477"/>
      <c r="V86" s="477"/>
      <c r="W86" s="477"/>
      <c r="X86" s="477"/>
    </row>
    <row r="87" spans="1:24" ht="45">
      <c r="A87" s="478"/>
      <c r="B87" s="476"/>
      <c r="C87" s="357" t="s">
        <v>531</v>
      </c>
      <c r="D87" s="360" t="s">
        <v>532</v>
      </c>
      <c r="E87" s="359">
        <f>-1000</f>
        <v>-1000</v>
      </c>
      <c r="F87" s="360" t="s">
        <v>102</v>
      </c>
      <c r="G87" s="365">
        <v>87.87</v>
      </c>
      <c r="H87" s="353"/>
      <c r="I87" s="353">
        <f>L87</f>
        <v>-87870</v>
      </c>
      <c r="J87" s="353"/>
      <c r="K87" s="353">
        <f t="shared" si="4"/>
        <v>-87870</v>
      </c>
      <c r="L87" s="365">
        <f>K87</f>
        <v>-87870</v>
      </c>
      <c r="M87" s="362">
        <v>43019</v>
      </c>
      <c r="N87" s="365"/>
      <c r="O87" s="363"/>
      <c r="P87" s="363"/>
      <c r="Q87" s="362"/>
      <c r="R87" s="374" t="s">
        <v>533</v>
      </c>
      <c r="S87" s="483"/>
      <c r="T87" s="484"/>
      <c r="U87" s="477" t="s">
        <v>534</v>
      </c>
      <c r="V87" s="475" t="s">
        <v>505</v>
      </c>
      <c r="W87" s="490" t="s">
        <v>535</v>
      </c>
      <c r="X87" s="490"/>
    </row>
    <row r="88" spans="1:24" ht="30">
      <c r="A88" s="478"/>
      <c r="B88" s="476"/>
      <c r="C88" s="357" t="s">
        <v>536</v>
      </c>
      <c r="D88" s="360" t="s">
        <v>537</v>
      </c>
      <c r="E88" s="359">
        <v>-1</v>
      </c>
      <c r="F88" s="360" t="s">
        <v>92</v>
      </c>
      <c r="G88" s="365">
        <v>28700</v>
      </c>
      <c r="H88" s="353">
        <f>L88</f>
        <v>-28700</v>
      </c>
      <c r="I88" s="353"/>
      <c r="J88" s="353"/>
      <c r="K88" s="353">
        <f t="shared" si="4"/>
        <v>-28700</v>
      </c>
      <c r="L88" s="365">
        <f>K88</f>
        <v>-28700</v>
      </c>
      <c r="M88" s="362">
        <v>43019</v>
      </c>
      <c r="N88" s="365"/>
      <c r="O88" s="363"/>
      <c r="P88" s="363"/>
      <c r="Q88" s="362"/>
      <c r="R88" s="374" t="s">
        <v>538</v>
      </c>
      <c r="S88" s="483"/>
      <c r="T88" s="484"/>
      <c r="U88" s="477" t="s">
        <v>539</v>
      </c>
      <c r="V88" s="475" t="s">
        <v>378</v>
      </c>
      <c r="W88" s="475" t="s">
        <v>379</v>
      </c>
      <c r="X88" s="475"/>
    </row>
    <row r="89" spans="1:24" ht="45">
      <c r="A89" s="478"/>
      <c r="B89" s="476"/>
      <c r="C89" s="357" t="s">
        <v>540</v>
      </c>
      <c r="D89" s="360" t="s">
        <v>541</v>
      </c>
      <c r="E89" s="359">
        <v>-1</v>
      </c>
      <c r="F89" s="360" t="s">
        <v>92</v>
      </c>
      <c r="G89" s="381">
        <v>15000</v>
      </c>
      <c r="H89" s="353"/>
      <c r="I89" s="353">
        <f>L89</f>
        <v>-15000</v>
      </c>
      <c r="J89" s="353"/>
      <c r="K89" s="353">
        <f t="shared" si="4"/>
        <v>-15000</v>
      </c>
      <c r="L89" s="365">
        <v>-15000</v>
      </c>
      <c r="M89" s="362">
        <v>43020</v>
      </c>
      <c r="N89" s="365"/>
      <c r="O89" s="363"/>
      <c r="P89" s="363"/>
      <c r="Q89" s="362"/>
      <c r="R89" s="374" t="s">
        <v>542</v>
      </c>
      <c r="S89" s="488"/>
      <c r="T89" s="489"/>
      <c r="U89" s="477" t="s">
        <v>534</v>
      </c>
      <c r="V89" s="475" t="s">
        <v>505</v>
      </c>
      <c r="W89" s="475" t="s">
        <v>543</v>
      </c>
      <c r="X89" s="475"/>
    </row>
    <row r="90" spans="1:24" ht="30">
      <c r="A90" s="478"/>
      <c r="B90" s="476"/>
      <c r="C90" s="357" t="s">
        <v>544</v>
      </c>
      <c r="D90" s="360" t="s">
        <v>545</v>
      </c>
      <c r="E90" s="359">
        <v>-1</v>
      </c>
      <c r="F90" s="360" t="s">
        <v>92</v>
      </c>
      <c r="G90" s="381">
        <v>8000</v>
      </c>
      <c r="H90" s="353"/>
      <c r="I90" s="353">
        <f>L90</f>
        <v>-8000</v>
      </c>
      <c r="J90" s="353"/>
      <c r="K90" s="353">
        <f t="shared" si="4"/>
        <v>-8000</v>
      </c>
      <c r="L90" s="365">
        <v>-8000</v>
      </c>
      <c r="M90" s="362">
        <v>43020</v>
      </c>
      <c r="N90" s="365"/>
      <c r="O90" s="363"/>
      <c r="P90" s="363"/>
      <c r="Q90" s="362"/>
      <c r="R90" s="374" t="s">
        <v>546</v>
      </c>
      <c r="S90" s="488"/>
      <c r="T90" s="489"/>
      <c r="U90" s="477" t="s">
        <v>534</v>
      </c>
      <c r="V90" s="477" t="s">
        <v>547</v>
      </c>
      <c r="W90" s="477"/>
      <c r="X90" s="477"/>
    </row>
    <row r="91" spans="1:24">
      <c r="A91" s="478"/>
      <c r="B91" s="476"/>
      <c r="C91" s="357" t="s">
        <v>548</v>
      </c>
      <c r="D91" s="360" t="s">
        <v>549</v>
      </c>
      <c r="E91" s="359">
        <v>6062</v>
      </c>
      <c r="F91" s="360" t="s">
        <v>87</v>
      </c>
      <c r="G91" s="381">
        <v>-3.2</v>
      </c>
      <c r="H91" s="353">
        <f>K91</f>
        <v>-19398.400000000001</v>
      </c>
      <c r="I91" s="353"/>
      <c r="J91" s="353"/>
      <c r="K91" s="353">
        <f t="shared" si="4"/>
        <v>-19398.400000000001</v>
      </c>
      <c r="L91" s="365">
        <v>-19398.400000000001</v>
      </c>
      <c r="M91" s="362">
        <v>43007</v>
      </c>
      <c r="N91" s="365"/>
      <c r="O91" s="363"/>
      <c r="P91" s="363"/>
      <c r="Q91" s="362"/>
      <c r="R91" s="374"/>
      <c r="S91" s="483"/>
      <c r="T91" s="484"/>
      <c r="U91" s="475" t="s">
        <v>377</v>
      </c>
      <c r="V91" s="475" t="s">
        <v>378</v>
      </c>
      <c r="W91" s="475" t="s">
        <v>379</v>
      </c>
      <c r="X91" s="475"/>
    </row>
    <row r="92" spans="1:24">
      <c r="A92" s="478"/>
      <c r="B92" s="476"/>
      <c r="C92" s="357" t="s">
        <v>550</v>
      </c>
      <c r="D92" s="360" t="s">
        <v>551</v>
      </c>
      <c r="E92" s="359">
        <v>993</v>
      </c>
      <c r="F92" s="360" t="s">
        <v>87</v>
      </c>
      <c r="G92" s="381">
        <v>-3.2</v>
      </c>
      <c r="H92" s="353">
        <f>K92</f>
        <v>-3177.6000000000004</v>
      </c>
      <c r="I92" s="353"/>
      <c r="J92" s="353"/>
      <c r="K92" s="353">
        <f t="shared" si="4"/>
        <v>-3177.6000000000004</v>
      </c>
      <c r="L92" s="365">
        <v>-3177.6</v>
      </c>
      <c r="M92" s="362">
        <v>43007</v>
      </c>
      <c r="N92" s="365"/>
      <c r="O92" s="363"/>
      <c r="P92" s="363"/>
      <c r="Q92" s="362"/>
      <c r="R92" s="374"/>
      <c r="S92" s="483"/>
      <c r="T92" s="484"/>
      <c r="U92" s="475" t="s">
        <v>377</v>
      </c>
      <c r="V92" s="475" t="s">
        <v>378</v>
      </c>
      <c r="W92" s="475" t="s">
        <v>552</v>
      </c>
      <c r="X92" s="475"/>
    </row>
    <row r="93" spans="1:24">
      <c r="A93" s="478"/>
      <c r="B93" s="476"/>
      <c r="C93" s="357" t="s">
        <v>553</v>
      </c>
      <c r="D93" s="360" t="s">
        <v>554</v>
      </c>
      <c r="E93" s="359">
        <v>-1</v>
      </c>
      <c r="F93" s="360" t="s">
        <v>92</v>
      </c>
      <c r="G93" s="379">
        <v>11780</v>
      </c>
      <c r="H93" s="353">
        <f>K93</f>
        <v>-11780</v>
      </c>
      <c r="I93" s="353"/>
      <c r="J93" s="353"/>
      <c r="K93" s="353">
        <f t="shared" si="4"/>
        <v>-11780</v>
      </c>
      <c r="L93" s="365">
        <v>-11780</v>
      </c>
      <c r="M93" s="362">
        <v>43007</v>
      </c>
      <c r="N93" s="365"/>
      <c r="O93" s="363"/>
      <c r="P93" s="363"/>
      <c r="Q93" s="362"/>
      <c r="R93" s="374"/>
      <c r="S93" s="483"/>
      <c r="T93" s="484"/>
      <c r="U93" s="475" t="s">
        <v>377</v>
      </c>
      <c r="V93" s="475" t="s">
        <v>378</v>
      </c>
      <c r="W93" s="475" t="s">
        <v>379</v>
      </c>
      <c r="X93" s="475"/>
    </row>
    <row r="94" spans="1:24" hidden="1">
      <c r="A94" s="478"/>
      <c r="B94" s="476"/>
      <c r="C94" s="357" t="s">
        <v>555</v>
      </c>
      <c r="D94" s="360" t="s">
        <v>556</v>
      </c>
      <c r="E94" s="359">
        <v>-1</v>
      </c>
      <c r="F94" s="360" t="s">
        <v>92</v>
      </c>
      <c r="G94" s="379">
        <v>35940</v>
      </c>
      <c r="H94" s="353"/>
      <c r="I94" s="353"/>
      <c r="J94" s="353"/>
      <c r="K94" s="353">
        <f t="shared" si="4"/>
        <v>-35940</v>
      </c>
      <c r="L94" s="365"/>
      <c r="M94" s="362"/>
      <c r="N94" s="365">
        <v>-35940</v>
      </c>
      <c r="O94" s="363"/>
      <c r="P94" s="363"/>
      <c r="Q94" s="362"/>
      <c r="R94" s="374" t="s">
        <v>557</v>
      </c>
      <c r="S94" s="483"/>
      <c r="T94" s="484"/>
      <c r="U94" s="477" t="s">
        <v>311</v>
      </c>
      <c r="V94" s="477"/>
      <c r="W94" s="477"/>
      <c r="X94" s="477"/>
    </row>
    <row r="95" spans="1:24" ht="45">
      <c r="A95" s="478"/>
      <c r="B95" s="476"/>
      <c r="C95" s="357" t="s">
        <v>558</v>
      </c>
      <c r="D95" s="360" t="s">
        <v>559</v>
      </c>
      <c r="E95" s="359">
        <v>-1</v>
      </c>
      <c r="F95" s="360" t="s">
        <v>92</v>
      </c>
      <c r="G95" s="379">
        <f>100000+SUM(K97:K100)</f>
        <v>18198.388888888891</v>
      </c>
      <c r="H95" s="353"/>
      <c r="I95" s="353"/>
      <c r="J95" s="353"/>
      <c r="K95" s="353">
        <f>G95*E95</f>
        <v>-18198.388888888891</v>
      </c>
      <c r="L95" s="365"/>
      <c r="M95" s="362"/>
      <c r="N95" s="365">
        <f>K95</f>
        <v>-18198.388888888891</v>
      </c>
      <c r="O95" s="363"/>
      <c r="P95" s="363"/>
      <c r="Q95" s="362"/>
      <c r="R95" s="374" t="s">
        <v>560</v>
      </c>
      <c r="S95" s="488"/>
      <c r="T95" s="489"/>
      <c r="U95" s="477" t="s">
        <v>561</v>
      </c>
      <c r="V95" s="477" t="s">
        <v>562</v>
      </c>
      <c r="W95" s="477"/>
      <c r="X95" s="477"/>
    </row>
    <row r="96" spans="1:24" ht="45">
      <c r="A96" s="478"/>
      <c r="B96" s="476"/>
      <c r="C96" s="357" t="s">
        <v>563</v>
      </c>
      <c r="D96" s="360" t="s">
        <v>564</v>
      </c>
      <c r="E96" s="359"/>
      <c r="F96" s="360"/>
      <c r="G96" s="379"/>
      <c r="H96" s="353"/>
      <c r="I96" s="353"/>
      <c r="J96" s="353"/>
      <c r="K96" s="353">
        <f t="shared" si="4"/>
        <v>0</v>
      </c>
      <c r="L96" s="365"/>
      <c r="M96" s="362"/>
      <c r="N96" s="365"/>
      <c r="O96" s="363"/>
      <c r="P96" s="363"/>
      <c r="Q96" s="362"/>
      <c r="R96" s="374"/>
      <c r="S96" s="483"/>
      <c r="T96" s="484"/>
      <c r="U96" s="477"/>
      <c r="V96" s="475" t="s">
        <v>505</v>
      </c>
      <c r="W96" s="475"/>
      <c r="X96" s="475"/>
    </row>
    <row r="97" spans="1:24" ht="45">
      <c r="A97" s="478"/>
      <c r="B97" s="476"/>
      <c r="C97" s="357"/>
      <c r="D97" s="360" t="s">
        <v>565</v>
      </c>
      <c r="E97" s="359">
        <v>-1477</v>
      </c>
      <c r="F97" s="360" t="s">
        <v>87</v>
      </c>
      <c r="G97" s="381">
        <f>22.2-3.2</f>
        <v>19</v>
      </c>
      <c r="H97" s="353">
        <f>K97</f>
        <v>-28063</v>
      </c>
      <c r="I97" s="353"/>
      <c r="J97" s="353"/>
      <c r="K97" s="353">
        <f t="shared" si="4"/>
        <v>-28063</v>
      </c>
      <c r="L97" s="365">
        <f>K97</f>
        <v>-28063</v>
      </c>
      <c r="M97" s="362">
        <v>43020</v>
      </c>
      <c r="N97" s="365"/>
      <c r="O97" s="363"/>
      <c r="P97" s="363"/>
      <c r="Q97" s="362"/>
      <c r="R97" s="374"/>
      <c r="S97" s="483"/>
      <c r="T97" s="484"/>
      <c r="U97" s="477" t="s">
        <v>566</v>
      </c>
      <c r="V97" s="475" t="s">
        <v>505</v>
      </c>
      <c r="W97" s="475" t="s">
        <v>379</v>
      </c>
      <c r="X97" s="475"/>
    </row>
    <row r="98" spans="1:24" ht="45">
      <c r="A98" s="478"/>
      <c r="B98" s="476"/>
      <c r="C98" s="357"/>
      <c r="D98" s="360" t="s">
        <v>567</v>
      </c>
      <c r="E98" s="359">
        <v>-714</v>
      </c>
      <c r="F98" s="360" t="s">
        <v>87</v>
      </c>
      <c r="G98" s="381">
        <f>18.2-3.2</f>
        <v>15</v>
      </c>
      <c r="H98" s="353">
        <f>K98</f>
        <v>-10710</v>
      </c>
      <c r="I98" s="353"/>
      <c r="J98" s="353"/>
      <c r="K98" s="353">
        <f t="shared" si="4"/>
        <v>-10710</v>
      </c>
      <c r="L98" s="365">
        <f>K98</f>
        <v>-10710</v>
      </c>
      <c r="M98" s="362">
        <v>43020</v>
      </c>
      <c r="N98" s="365"/>
      <c r="O98" s="363"/>
      <c r="P98" s="363"/>
      <c r="Q98" s="362"/>
      <c r="R98" s="374"/>
      <c r="S98" s="483"/>
      <c r="T98" s="484"/>
      <c r="U98" s="477" t="s">
        <v>566</v>
      </c>
      <c r="V98" s="475" t="s">
        <v>505</v>
      </c>
      <c r="W98" s="475" t="s">
        <v>379</v>
      </c>
      <c r="X98" s="475"/>
    </row>
    <row r="99" spans="1:24" ht="45">
      <c r="A99" s="478"/>
      <c r="B99" s="476"/>
      <c r="C99" s="357"/>
      <c r="D99" s="360" t="s">
        <v>568</v>
      </c>
      <c r="E99" s="359">
        <v>-161</v>
      </c>
      <c r="F99" s="360" t="s">
        <v>87</v>
      </c>
      <c r="G99" s="381">
        <v>55</v>
      </c>
      <c r="H99" s="353">
        <f>K99</f>
        <v>-8855</v>
      </c>
      <c r="I99" s="353"/>
      <c r="J99" s="353"/>
      <c r="K99" s="353">
        <f t="shared" si="4"/>
        <v>-8855</v>
      </c>
      <c r="L99" s="365">
        <f>K99</f>
        <v>-8855</v>
      </c>
      <c r="M99" s="362">
        <v>43020</v>
      </c>
      <c r="N99" s="365"/>
      <c r="O99" s="363"/>
      <c r="P99" s="363"/>
      <c r="Q99" s="362"/>
      <c r="R99" s="374"/>
      <c r="S99" s="483"/>
      <c r="T99" s="484"/>
      <c r="U99" s="477" t="s">
        <v>566</v>
      </c>
      <c r="V99" s="475" t="s">
        <v>505</v>
      </c>
      <c r="W99" s="475" t="s">
        <v>379</v>
      </c>
      <c r="X99" s="475"/>
    </row>
    <row r="100" spans="1:24" ht="45">
      <c r="A100" s="478"/>
      <c r="B100" s="476"/>
      <c r="C100" s="357"/>
      <c r="D100" s="360" t="s">
        <v>569</v>
      </c>
      <c r="E100" s="359">
        <f>-6327*(20/12)/27</f>
        <v>-390.55555555555554</v>
      </c>
      <c r="F100" s="360" t="s">
        <v>135</v>
      </c>
      <c r="G100" s="381">
        <v>87.5</v>
      </c>
      <c r="H100" s="353">
        <f>K100</f>
        <v>-34173.611111111109</v>
      </c>
      <c r="I100" s="353"/>
      <c r="J100" s="353"/>
      <c r="K100" s="353">
        <f t="shared" si="4"/>
        <v>-34173.611111111109</v>
      </c>
      <c r="L100" s="365">
        <f>K100</f>
        <v>-34173.611111111109</v>
      </c>
      <c r="M100" s="362">
        <v>43020</v>
      </c>
      <c r="N100" s="365"/>
      <c r="O100" s="363"/>
      <c r="P100" s="363"/>
      <c r="Q100" s="362"/>
      <c r="R100" s="374"/>
      <c r="S100" s="483"/>
      <c r="T100" s="484"/>
      <c r="U100" s="477" t="s">
        <v>566</v>
      </c>
      <c r="V100" s="475" t="s">
        <v>505</v>
      </c>
      <c r="W100" s="490" t="s">
        <v>535</v>
      </c>
      <c r="X100" s="490"/>
    </row>
    <row r="101" spans="1:24" ht="45">
      <c r="A101" s="478"/>
      <c r="B101" s="476"/>
      <c r="C101" s="357"/>
      <c r="D101" s="360" t="s">
        <v>570</v>
      </c>
      <c r="E101" s="359">
        <v>-5</v>
      </c>
      <c r="F101" s="360" t="s">
        <v>89</v>
      </c>
      <c r="G101" s="379">
        <v>6700</v>
      </c>
      <c r="H101" s="353">
        <f>K101</f>
        <v>-33500</v>
      </c>
      <c r="I101" s="353"/>
      <c r="J101" s="353"/>
      <c r="K101" s="353">
        <f t="shared" si="4"/>
        <v>-33500</v>
      </c>
      <c r="L101" s="365">
        <f>K101</f>
        <v>-33500</v>
      </c>
      <c r="M101" s="362">
        <v>43020</v>
      </c>
      <c r="N101" s="365"/>
      <c r="O101" s="363"/>
      <c r="P101" s="363"/>
      <c r="Q101" s="362"/>
      <c r="R101" s="374"/>
      <c r="S101" s="483"/>
      <c r="T101" s="484"/>
      <c r="U101" s="477" t="s">
        <v>566</v>
      </c>
      <c r="V101" s="475" t="s">
        <v>505</v>
      </c>
      <c r="W101" s="475" t="s">
        <v>571</v>
      </c>
      <c r="X101" s="475"/>
    </row>
    <row r="102" spans="1:24">
      <c r="A102" s="478"/>
      <c r="B102" s="476"/>
      <c r="C102" s="357"/>
      <c r="D102" s="357"/>
      <c r="E102" s="359"/>
      <c r="F102" s="360"/>
      <c r="G102" s="379"/>
      <c r="H102" s="353"/>
      <c r="I102" s="353"/>
      <c r="J102" s="353"/>
      <c r="K102" s="353"/>
      <c r="L102" s="365"/>
      <c r="M102" s="362"/>
      <c r="N102" s="365"/>
      <c r="O102" s="363"/>
      <c r="P102" s="363"/>
      <c r="Q102" s="362"/>
      <c r="R102" s="374"/>
      <c r="S102" s="483"/>
      <c r="T102" s="484"/>
      <c r="U102" s="475"/>
      <c r="V102" s="475"/>
      <c r="W102" s="475"/>
      <c r="X102" s="475"/>
    </row>
    <row r="103" spans="1:24" ht="30">
      <c r="A103" s="478"/>
      <c r="B103" s="476"/>
      <c r="C103" s="357" t="s">
        <v>572</v>
      </c>
      <c r="D103" s="357" t="s">
        <v>573</v>
      </c>
      <c r="E103" s="359">
        <f>+-1</f>
        <v>-1</v>
      </c>
      <c r="F103" s="360" t="s">
        <v>92</v>
      </c>
      <c r="G103" s="379">
        <f>-'[16]VE Backup'!T49</f>
        <v>29493.600000000006</v>
      </c>
      <c r="H103" s="353">
        <f>K103</f>
        <v>-29493.600000000006</v>
      </c>
      <c r="I103" s="353"/>
      <c r="J103" s="353"/>
      <c r="K103" s="353">
        <f>G103*E103</f>
        <v>-29493.600000000006</v>
      </c>
      <c r="L103" s="365">
        <v>-29493.599999999999</v>
      </c>
      <c r="M103" s="362">
        <v>43007</v>
      </c>
      <c r="N103" s="365"/>
      <c r="O103" s="363"/>
      <c r="P103" s="363"/>
      <c r="Q103" s="362"/>
      <c r="R103" s="374" t="s">
        <v>574</v>
      </c>
      <c r="S103" s="483"/>
      <c r="T103" s="484"/>
      <c r="U103" s="475" t="s">
        <v>377</v>
      </c>
      <c r="V103" s="475" t="s">
        <v>378</v>
      </c>
      <c r="W103" s="475" t="s">
        <v>379</v>
      </c>
      <c r="X103" s="475"/>
    </row>
    <row r="104" spans="1:24" ht="30" hidden="1">
      <c r="A104" s="478"/>
      <c r="B104" s="476"/>
      <c r="C104" s="357" t="s">
        <v>575</v>
      </c>
      <c r="D104" s="388" t="s">
        <v>576</v>
      </c>
      <c r="E104" s="389">
        <v>-1</v>
      </c>
      <c r="F104" s="390" t="s">
        <v>92</v>
      </c>
      <c r="G104" s="391"/>
      <c r="H104" s="392"/>
      <c r="I104" s="392"/>
      <c r="J104" s="392"/>
      <c r="K104" s="392"/>
      <c r="L104" s="365"/>
      <c r="M104" s="362"/>
      <c r="N104" s="365"/>
      <c r="O104" s="382"/>
      <c r="P104" s="382"/>
      <c r="Q104" s="393"/>
      <c r="R104" s="394" t="s">
        <v>577</v>
      </c>
      <c r="S104" s="491"/>
      <c r="T104" s="492"/>
      <c r="U104" s="493" t="s">
        <v>578</v>
      </c>
      <c r="V104" s="493"/>
      <c r="W104" s="493"/>
      <c r="X104" s="493"/>
    </row>
    <row r="105" spans="1:24" hidden="1">
      <c r="A105" s="478"/>
      <c r="B105" s="476"/>
      <c r="C105" s="357" t="s">
        <v>579</v>
      </c>
      <c r="D105" s="388" t="s">
        <v>580</v>
      </c>
      <c r="E105" s="389"/>
      <c r="F105" s="390"/>
      <c r="G105" s="391"/>
      <c r="H105" s="392"/>
      <c r="I105" s="392"/>
      <c r="J105" s="392"/>
      <c r="K105" s="392">
        <f t="shared" ref="K105:K112" si="5">G105*E105</f>
        <v>0</v>
      </c>
      <c r="L105" s="365"/>
      <c r="M105" s="362"/>
      <c r="N105" s="365"/>
      <c r="O105" s="382"/>
      <c r="P105" s="382"/>
      <c r="Q105" s="393"/>
      <c r="R105" s="394"/>
      <c r="S105" s="491"/>
      <c r="T105" s="492"/>
      <c r="U105" s="493"/>
      <c r="V105" s="493"/>
      <c r="W105" s="493"/>
      <c r="X105" s="493"/>
    </row>
    <row r="106" spans="1:24" ht="45">
      <c r="A106" s="478"/>
      <c r="B106" s="476"/>
      <c r="C106" s="357" t="s">
        <v>581</v>
      </c>
      <c r="D106" s="357" t="s">
        <v>582</v>
      </c>
      <c r="E106" s="359"/>
      <c r="F106" s="360"/>
      <c r="G106" s="379"/>
      <c r="H106" s="353"/>
      <c r="I106" s="353"/>
      <c r="J106" s="353"/>
      <c r="K106" s="353">
        <f t="shared" si="5"/>
        <v>0</v>
      </c>
      <c r="L106" s="365"/>
      <c r="M106" s="362"/>
      <c r="N106" s="365"/>
      <c r="O106" s="363"/>
      <c r="P106" s="363"/>
      <c r="Q106" s="362"/>
      <c r="R106" s="374" t="s">
        <v>583</v>
      </c>
      <c r="S106" s="488"/>
      <c r="T106" s="489"/>
      <c r="U106" s="477"/>
      <c r="V106" s="477" t="s">
        <v>584</v>
      </c>
      <c r="W106" s="477" t="s">
        <v>201</v>
      </c>
      <c r="X106" s="477"/>
    </row>
    <row r="107" spans="1:24" ht="30">
      <c r="A107" s="478"/>
      <c r="B107" s="476"/>
      <c r="C107" s="357" t="s">
        <v>585</v>
      </c>
      <c r="D107" s="357" t="s">
        <v>586</v>
      </c>
      <c r="E107" s="359">
        <v>-1</v>
      </c>
      <c r="F107" s="360" t="s">
        <v>92</v>
      </c>
      <c r="G107" s="379">
        <v>171000</v>
      </c>
      <c r="H107" s="353">
        <f>K107</f>
        <v>-171000</v>
      </c>
      <c r="I107" s="353"/>
      <c r="J107" s="353"/>
      <c r="K107" s="353">
        <f t="shared" si="5"/>
        <v>-171000</v>
      </c>
      <c r="L107" s="365">
        <f>K107</f>
        <v>-171000</v>
      </c>
      <c r="M107" s="362">
        <v>43018</v>
      </c>
      <c r="N107" s="365"/>
      <c r="O107" s="363"/>
      <c r="P107" s="363"/>
      <c r="Q107" s="362"/>
      <c r="R107" s="374"/>
      <c r="S107" s="483"/>
      <c r="T107" s="484"/>
      <c r="U107" s="477"/>
      <c r="V107" s="475" t="s">
        <v>378</v>
      </c>
      <c r="W107" s="475" t="s">
        <v>390</v>
      </c>
      <c r="X107" s="475"/>
    </row>
    <row r="108" spans="1:24" ht="45">
      <c r="A108" s="478"/>
      <c r="B108" s="476"/>
      <c r="C108" s="357" t="s">
        <v>199</v>
      </c>
      <c r="D108" s="357" t="s">
        <v>200</v>
      </c>
      <c r="E108" s="359">
        <v>-1</v>
      </c>
      <c r="F108" s="360" t="s">
        <v>92</v>
      </c>
      <c r="G108" s="379">
        <v>50000</v>
      </c>
      <c r="H108" s="353"/>
      <c r="I108" s="353"/>
      <c r="J108" s="353">
        <f>K108</f>
        <v>-50000</v>
      </c>
      <c r="K108" s="353">
        <f t="shared" si="5"/>
        <v>-50000</v>
      </c>
      <c r="L108" s="365">
        <v>-50000</v>
      </c>
      <c r="M108" s="362">
        <v>43020</v>
      </c>
      <c r="N108" s="365"/>
      <c r="O108" s="363"/>
      <c r="P108" s="363"/>
      <c r="Q108" s="362"/>
      <c r="R108" s="374" t="s">
        <v>587</v>
      </c>
      <c r="S108" s="483"/>
      <c r="T108" s="484"/>
      <c r="U108" s="477" t="s">
        <v>588</v>
      </c>
      <c r="V108" s="477" t="s">
        <v>589</v>
      </c>
      <c r="W108" s="477" t="s">
        <v>201</v>
      </c>
      <c r="X108" s="477"/>
    </row>
    <row r="109" spans="1:24" ht="30">
      <c r="A109" s="478"/>
      <c r="B109" s="476"/>
      <c r="C109" s="357" t="s">
        <v>590</v>
      </c>
      <c r="D109" s="357" t="s">
        <v>591</v>
      </c>
      <c r="E109" s="359">
        <v>-1</v>
      </c>
      <c r="F109" s="360" t="s">
        <v>92</v>
      </c>
      <c r="G109" s="379">
        <v>50000</v>
      </c>
      <c r="H109" s="353"/>
      <c r="I109" s="353"/>
      <c r="J109" s="353">
        <f>K109</f>
        <v>-50000</v>
      </c>
      <c r="K109" s="353">
        <f t="shared" si="5"/>
        <v>-50000</v>
      </c>
      <c r="L109" s="365">
        <v>-50000</v>
      </c>
      <c r="M109" s="362">
        <v>43020</v>
      </c>
      <c r="N109" s="365"/>
      <c r="O109" s="363"/>
      <c r="P109" s="363"/>
      <c r="Q109" s="362"/>
      <c r="R109" s="374" t="s">
        <v>587</v>
      </c>
      <c r="S109" s="483"/>
      <c r="T109" s="484"/>
      <c r="U109" s="477" t="s">
        <v>588</v>
      </c>
      <c r="V109" s="475" t="s">
        <v>378</v>
      </c>
      <c r="W109" s="475" t="s">
        <v>390</v>
      </c>
      <c r="X109" s="475"/>
    </row>
    <row r="110" spans="1:24" ht="45">
      <c r="A110" s="478"/>
      <c r="B110" s="476"/>
      <c r="C110" s="357" t="s">
        <v>592</v>
      </c>
      <c r="D110" s="357" t="s">
        <v>593</v>
      </c>
      <c r="E110" s="359">
        <v>-1</v>
      </c>
      <c r="F110" s="360" t="s">
        <v>92</v>
      </c>
      <c r="G110" s="379">
        <v>50000</v>
      </c>
      <c r="H110" s="353">
        <f>L110</f>
        <v>-25000</v>
      </c>
      <c r="I110" s="353"/>
      <c r="J110" s="353"/>
      <c r="K110" s="353">
        <f t="shared" si="5"/>
        <v>-50000</v>
      </c>
      <c r="L110" s="365">
        <v>-25000</v>
      </c>
      <c r="M110" s="362">
        <v>43020</v>
      </c>
      <c r="N110" s="365">
        <v>-25000</v>
      </c>
      <c r="O110" s="363"/>
      <c r="P110" s="363"/>
      <c r="Q110" s="362"/>
      <c r="R110" s="374" t="s">
        <v>594</v>
      </c>
      <c r="S110" s="488"/>
      <c r="T110" s="489"/>
      <c r="U110" s="477" t="s">
        <v>595</v>
      </c>
      <c r="V110" s="477" t="s">
        <v>596</v>
      </c>
      <c r="W110" s="475" t="s">
        <v>487</v>
      </c>
      <c r="X110" s="475"/>
    </row>
    <row r="111" spans="1:24" ht="30">
      <c r="A111" s="478"/>
      <c r="B111" s="476"/>
      <c r="C111" s="357" t="s">
        <v>597</v>
      </c>
      <c r="D111" s="357" t="s">
        <v>598</v>
      </c>
      <c r="E111" s="359">
        <v>-1</v>
      </c>
      <c r="F111" s="360" t="s">
        <v>92</v>
      </c>
      <c r="G111" s="379">
        <v>150000</v>
      </c>
      <c r="H111" s="353"/>
      <c r="I111" s="353"/>
      <c r="J111" s="353">
        <f>L111</f>
        <v>-75000</v>
      </c>
      <c r="K111" s="353">
        <f t="shared" si="5"/>
        <v>-150000</v>
      </c>
      <c r="L111" s="365">
        <v>-75000</v>
      </c>
      <c r="M111" s="362">
        <v>43020</v>
      </c>
      <c r="N111" s="365">
        <v>-75000</v>
      </c>
      <c r="O111" s="363"/>
      <c r="P111" s="363"/>
      <c r="Q111" s="362"/>
      <c r="R111" s="374" t="s">
        <v>599</v>
      </c>
      <c r="S111" s="488"/>
      <c r="T111" s="489"/>
      <c r="U111" s="477" t="s">
        <v>600</v>
      </c>
      <c r="V111" s="475" t="s">
        <v>378</v>
      </c>
      <c r="W111" s="475" t="s">
        <v>390</v>
      </c>
      <c r="X111" s="475"/>
    </row>
    <row r="112" spans="1:24">
      <c r="A112" s="478"/>
      <c r="B112" s="476"/>
      <c r="C112" s="357"/>
      <c r="D112" s="357"/>
      <c r="E112" s="359"/>
      <c r="F112" s="360"/>
      <c r="G112" s="379"/>
      <c r="H112" s="353"/>
      <c r="I112" s="353"/>
      <c r="J112" s="353"/>
      <c r="K112" s="353">
        <f t="shared" si="5"/>
        <v>0</v>
      </c>
      <c r="L112" s="365"/>
      <c r="M112" s="362"/>
      <c r="N112" s="365"/>
      <c r="O112" s="363"/>
      <c r="P112" s="363"/>
      <c r="Q112" s="362"/>
      <c r="R112" s="374"/>
      <c r="S112" s="483"/>
      <c r="T112" s="484"/>
      <c r="U112" s="477"/>
      <c r="V112" s="477"/>
      <c r="W112" s="477"/>
      <c r="X112" s="477"/>
    </row>
    <row r="113" spans="1:24">
      <c r="A113" s="478"/>
      <c r="B113" s="476"/>
      <c r="C113" s="357"/>
      <c r="D113" s="360"/>
      <c r="E113" s="359"/>
      <c r="F113" s="360"/>
      <c r="G113" s="379"/>
      <c r="H113" s="353"/>
      <c r="I113" s="353"/>
      <c r="J113" s="353"/>
      <c r="K113" s="353">
        <f t="shared" si="4"/>
        <v>0</v>
      </c>
      <c r="L113" s="365"/>
      <c r="M113" s="362"/>
      <c r="N113" s="365"/>
      <c r="O113" s="363"/>
      <c r="P113" s="363"/>
      <c r="Q113" s="362"/>
      <c r="R113" s="374"/>
      <c r="S113" s="483"/>
      <c r="T113" s="484"/>
      <c r="U113" s="477"/>
      <c r="V113" s="477"/>
      <c r="W113" s="477"/>
      <c r="X113" s="477"/>
    </row>
    <row r="114" spans="1:24" hidden="1">
      <c r="A114" s="478"/>
      <c r="B114" s="476"/>
      <c r="C114" s="357" t="s">
        <v>601</v>
      </c>
      <c r="D114" s="360" t="s">
        <v>602</v>
      </c>
      <c r="E114" s="359">
        <f>-2</f>
        <v>-2</v>
      </c>
      <c r="F114" s="360" t="s">
        <v>89</v>
      </c>
      <c r="G114" s="365">
        <v>7000</v>
      </c>
      <c r="H114" s="353"/>
      <c r="I114" s="353"/>
      <c r="J114" s="353"/>
      <c r="K114" s="353">
        <f>G114*E114</f>
        <v>-14000</v>
      </c>
      <c r="L114" s="365"/>
      <c r="M114" s="362"/>
      <c r="N114" s="365"/>
      <c r="O114" s="363"/>
      <c r="P114" s="361">
        <v>-14000</v>
      </c>
      <c r="Q114" s="362">
        <v>43007</v>
      </c>
      <c r="R114" s="374" t="s">
        <v>603</v>
      </c>
      <c r="S114" s="483"/>
      <c r="T114" s="484"/>
      <c r="U114" s="477" t="s">
        <v>311</v>
      </c>
      <c r="V114" s="477"/>
      <c r="W114" s="477"/>
      <c r="X114" s="477"/>
    </row>
    <row r="115" spans="1:24">
      <c r="A115" s="478"/>
      <c r="B115" s="476" t="s">
        <v>322</v>
      </c>
      <c r="C115" s="357" t="s">
        <v>604</v>
      </c>
      <c r="D115" s="357" t="s">
        <v>605</v>
      </c>
      <c r="E115" s="359">
        <v>1</v>
      </c>
      <c r="F115" s="360" t="s">
        <v>325</v>
      </c>
      <c r="G115" s="360"/>
      <c r="H115" s="353"/>
      <c r="I115" s="353"/>
      <c r="J115" s="353"/>
      <c r="K115" s="353"/>
      <c r="L115" s="370">
        <f>SUM(L116:L122)</f>
        <v>-47516.09</v>
      </c>
      <c r="M115" s="362">
        <v>43019</v>
      </c>
      <c r="N115" s="363"/>
      <c r="O115" s="363"/>
      <c r="P115" s="370"/>
      <c r="Q115" s="362"/>
      <c r="R115" s="364" t="s">
        <v>606</v>
      </c>
      <c r="S115" s="479"/>
      <c r="T115" s="480" t="s">
        <v>607</v>
      </c>
      <c r="U115" s="475" t="s">
        <v>377</v>
      </c>
      <c r="V115" s="475" t="s">
        <v>378</v>
      </c>
      <c r="W115" s="475"/>
      <c r="X115" s="475"/>
    </row>
    <row r="116" spans="1:24" s="400" customFormat="1">
      <c r="A116" s="395"/>
      <c r="B116" s="367"/>
      <c r="C116" s="494" t="s">
        <v>133</v>
      </c>
      <c r="D116" s="386" t="s">
        <v>608</v>
      </c>
      <c r="E116" s="396">
        <v>4090</v>
      </c>
      <c r="F116" s="367" t="s">
        <v>122</v>
      </c>
      <c r="G116" s="397">
        <f>K116</f>
        <v>-44990</v>
      </c>
      <c r="H116" s="353">
        <f>K116</f>
        <v>-44990</v>
      </c>
      <c r="I116" s="353"/>
      <c r="J116" s="353"/>
      <c r="K116" s="353">
        <f>L116</f>
        <v>-44990</v>
      </c>
      <c r="L116" s="368">
        <v>-44990</v>
      </c>
      <c r="M116" s="362"/>
      <c r="N116" s="363"/>
      <c r="O116" s="363"/>
      <c r="P116" s="368"/>
      <c r="Q116" s="367"/>
      <c r="R116" s="367"/>
      <c r="S116" s="398"/>
      <c r="T116" s="399"/>
      <c r="U116" s="475" t="s">
        <v>377</v>
      </c>
      <c r="V116" s="475" t="s">
        <v>378</v>
      </c>
      <c r="W116" s="475" t="s">
        <v>379</v>
      </c>
      <c r="X116" s="475"/>
    </row>
    <row r="117" spans="1:24" s="400" customFormat="1">
      <c r="A117" s="395"/>
      <c r="B117" s="367"/>
      <c r="C117" s="494" t="s">
        <v>131</v>
      </c>
      <c r="D117" s="386" t="s">
        <v>132</v>
      </c>
      <c r="E117" s="396">
        <v>197</v>
      </c>
      <c r="F117" s="367" t="s">
        <v>122</v>
      </c>
      <c r="G117" s="397">
        <f>K117</f>
        <v>-6057.75</v>
      </c>
      <c r="H117" s="353">
        <f>K117</f>
        <v>-6057.75</v>
      </c>
      <c r="I117" s="353"/>
      <c r="J117" s="353"/>
      <c r="K117" s="353">
        <f>L117</f>
        <v>-6057.75</v>
      </c>
      <c r="L117" s="368">
        <v>-6057.75</v>
      </c>
      <c r="M117" s="362"/>
      <c r="N117" s="363"/>
      <c r="O117" s="363"/>
      <c r="P117" s="368"/>
      <c r="Q117" s="367"/>
      <c r="R117" s="367"/>
      <c r="S117" s="398"/>
      <c r="T117" s="399"/>
      <c r="U117" s="475" t="s">
        <v>377</v>
      </c>
      <c r="V117" s="475" t="s">
        <v>378</v>
      </c>
      <c r="W117" s="475" t="s">
        <v>379</v>
      </c>
      <c r="X117" s="475"/>
    </row>
    <row r="118" spans="1:24" s="400" customFormat="1">
      <c r="A118" s="395"/>
      <c r="B118" s="367"/>
      <c r="C118" s="494" t="s">
        <v>133</v>
      </c>
      <c r="D118" s="386" t="s">
        <v>134</v>
      </c>
      <c r="E118" s="396">
        <v>87.7</v>
      </c>
      <c r="F118" s="367" t="s">
        <v>135</v>
      </c>
      <c r="G118" s="397">
        <f>K118</f>
        <v>-532.34</v>
      </c>
      <c r="H118" s="353">
        <f>K118</f>
        <v>-532.34</v>
      </c>
      <c r="I118" s="353"/>
      <c r="J118" s="353"/>
      <c r="K118" s="353">
        <f>L118</f>
        <v>-532.34</v>
      </c>
      <c r="L118" s="368">
        <v>-532.34</v>
      </c>
      <c r="M118" s="362"/>
      <c r="N118" s="363"/>
      <c r="O118" s="363"/>
      <c r="P118" s="368"/>
      <c r="Q118" s="367"/>
      <c r="R118" s="367"/>
      <c r="S118" s="398"/>
      <c r="T118" s="399"/>
      <c r="U118" s="475" t="s">
        <v>377</v>
      </c>
      <c r="V118" s="475" t="s">
        <v>378</v>
      </c>
      <c r="W118" s="475" t="s">
        <v>379</v>
      </c>
      <c r="X118" s="475"/>
    </row>
    <row r="119" spans="1:24" s="400" customFormat="1" ht="30">
      <c r="A119" s="395"/>
      <c r="B119" s="367"/>
      <c r="C119" s="494" t="s">
        <v>609</v>
      </c>
      <c r="D119" s="358" t="s">
        <v>610</v>
      </c>
      <c r="E119" s="359">
        <v>1</v>
      </c>
      <c r="F119" s="360" t="s">
        <v>325</v>
      </c>
      <c r="G119" s="360"/>
      <c r="H119" s="353">
        <f>K119</f>
        <v>10000</v>
      </c>
      <c r="I119" s="353"/>
      <c r="J119" s="353"/>
      <c r="K119" s="353">
        <v>10000</v>
      </c>
      <c r="L119" s="365">
        <f>K119</f>
        <v>10000</v>
      </c>
      <c r="M119" s="362">
        <v>43020</v>
      </c>
      <c r="N119" s="363"/>
      <c r="O119" s="363"/>
      <c r="P119" s="365"/>
      <c r="Q119" s="360"/>
      <c r="R119" s="401" t="s">
        <v>611</v>
      </c>
      <c r="S119" s="360"/>
      <c r="T119" s="402"/>
      <c r="U119" s="475" t="s">
        <v>612</v>
      </c>
      <c r="V119" s="475" t="s">
        <v>378</v>
      </c>
      <c r="W119" s="475" t="s">
        <v>379</v>
      </c>
      <c r="X119" s="475"/>
    </row>
    <row r="120" spans="1:24" s="400" customFormat="1" ht="30">
      <c r="A120" s="395"/>
      <c r="B120" s="367"/>
      <c r="C120" s="494" t="s">
        <v>613</v>
      </c>
      <c r="D120" s="387" t="s">
        <v>614</v>
      </c>
      <c r="E120" s="359">
        <v>1</v>
      </c>
      <c r="F120" s="360" t="s">
        <v>325</v>
      </c>
      <c r="G120" s="360"/>
      <c r="H120" s="353"/>
      <c r="I120" s="353"/>
      <c r="J120" s="353"/>
      <c r="K120" s="353">
        <f>L120</f>
        <v>0</v>
      </c>
      <c r="L120" s="365"/>
      <c r="M120" s="362"/>
      <c r="N120" s="365"/>
      <c r="O120" s="363"/>
      <c r="P120" s="368"/>
      <c r="Q120" s="367"/>
      <c r="R120" s="374" t="s">
        <v>615</v>
      </c>
      <c r="S120" s="367"/>
      <c r="T120" s="403"/>
      <c r="U120" s="475" t="s">
        <v>616</v>
      </c>
      <c r="V120" s="475" t="s">
        <v>378</v>
      </c>
      <c r="W120" s="475" t="s">
        <v>379</v>
      </c>
      <c r="X120" s="475"/>
    </row>
    <row r="121" spans="1:24" s="400" customFormat="1">
      <c r="A121" s="395"/>
      <c r="B121" s="367"/>
      <c r="C121" s="494" t="s">
        <v>617</v>
      </c>
      <c r="D121" s="386" t="s">
        <v>618</v>
      </c>
      <c r="E121" s="396">
        <v>1</v>
      </c>
      <c r="F121" s="367" t="s">
        <v>325</v>
      </c>
      <c r="G121" s="367"/>
      <c r="H121" s="353">
        <f>K121</f>
        <v>6700</v>
      </c>
      <c r="I121" s="353"/>
      <c r="J121" s="353"/>
      <c r="K121" s="353">
        <f>L121</f>
        <v>6700</v>
      </c>
      <c r="L121" s="368">
        <v>6700</v>
      </c>
      <c r="M121" s="362">
        <v>43020</v>
      </c>
      <c r="N121" s="363"/>
      <c r="O121" s="363"/>
      <c r="P121" s="368"/>
      <c r="Q121" s="367"/>
      <c r="R121" s="367"/>
      <c r="S121" s="398"/>
      <c r="T121" s="399"/>
      <c r="U121" s="475" t="s">
        <v>377</v>
      </c>
      <c r="V121" s="475" t="s">
        <v>378</v>
      </c>
      <c r="W121" s="475" t="s">
        <v>379</v>
      </c>
      <c r="X121" s="475"/>
    </row>
    <row r="122" spans="1:24" s="400" customFormat="1">
      <c r="A122" s="395"/>
      <c r="B122" s="367"/>
      <c r="C122" s="494" t="s">
        <v>619</v>
      </c>
      <c r="D122" s="372" t="s">
        <v>620</v>
      </c>
      <c r="E122" s="359">
        <v>-2</v>
      </c>
      <c r="F122" s="360" t="s">
        <v>89</v>
      </c>
      <c r="G122" s="379">
        <v>6318</v>
      </c>
      <c r="H122" s="353">
        <f>K122</f>
        <v>-12636</v>
      </c>
      <c r="I122" s="353"/>
      <c r="J122" s="353"/>
      <c r="K122" s="353">
        <f>G122*E122</f>
        <v>-12636</v>
      </c>
      <c r="L122" s="404">
        <v>-12636</v>
      </c>
      <c r="M122" s="362">
        <v>43035</v>
      </c>
      <c r="N122" s="365"/>
      <c r="O122" s="363"/>
      <c r="P122" s="365"/>
      <c r="Q122" s="360"/>
      <c r="R122" s="475" t="s">
        <v>621</v>
      </c>
      <c r="S122" s="360"/>
      <c r="T122" s="402"/>
      <c r="U122" s="475"/>
      <c r="V122" s="475" t="s">
        <v>378</v>
      </c>
      <c r="W122" s="475" t="s">
        <v>622</v>
      </c>
      <c r="X122" s="495">
        <f>-L122</f>
        <v>12636</v>
      </c>
    </row>
    <row r="123" spans="1:24" ht="45">
      <c r="A123" s="478"/>
      <c r="B123" s="476"/>
      <c r="C123" s="357" t="s">
        <v>623</v>
      </c>
      <c r="D123" s="357" t="s">
        <v>624</v>
      </c>
      <c r="E123" s="359">
        <v>-1</v>
      </c>
      <c r="F123" s="360" t="s">
        <v>92</v>
      </c>
      <c r="G123" s="365">
        <v>28500</v>
      </c>
      <c r="H123" s="353">
        <f>K123</f>
        <v>-28500</v>
      </c>
      <c r="I123" s="353"/>
      <c r="J123" s="353"/>
      <c r="K123" s="353">
        <f t="shared" si="4"/>
        <v>-28500</v>
      </c>
      <c r="L123" s="365">
        <f>K123</f>
        <v>-28500</v>
      </c>
      <c r="M123" s="362">
        <v>43020</v>
      </c>
      <c r="N123" s="365"/>
      <c r="O123" s="363"/>
      <c r="P123" s="363"/>
      <c r="Q123" s="362"/>
      <c r="R123" s="357"/>
      <c r="S123" s="483"/>
      <c r="T123" s="484"/>
      <c r="U123" s="477" t="s">
        <v>625</v>
      </c>
      <c r="V123" s="475" t="s">
        <v>378</v>
      </c>
      <c r="W123" s="475"/>
      <c r="X123" s="475"/>
    </row>
    <row r="124" spans="1:24">
      <c r="A124" s="478"/>
      <c r="B124" s="476"/>
      <c r="C124" s="357" t="s">
        <v>626</v>
      </c>
      <c r="D124" s="360" t="s">
        <v>627</v>
      </c>
      <c r="E124" s="359">
        <v>-1</v>
      </c>
      <c r="F124" s="360" t="s">
        <v>92</v>
      </c>
      <c r="G124" s="365">
        <v>104521</v>
      </c>
      <c r="H124" s="353">
        <f>K124</f>
        <v>-104521</v>
      </c>
      <c r="I124" s="353"/>
      <c r="J124" s="353"/>
      <c r="K124" s="353">
        <f t="shared" si="4"/>
        <v>-104521</v>
      </c>
      <c r="L124" s="365">
        <f>K124</f>
        <v>-104521</v>
      </c>
      <c r="M124" s="362">
        <v>43039</v>
      </c>
      <c r="N124" s="365"/>
      <c r="O124" s="363"/>
      <c r="P124" s="363"/>
      <c r="Q124" s="362"/>
      <c r="R124" s="374" t="s">
        <v>628</v>
      </c>
      <c r="S124" s="488"/>
      <c r="T124" s="489"/>
      <c r="U124" s="477" t="s">
        <v>629</v>
      </c>
      <c r="V124" s="475" t="s">
        <v>378</v>
      </c>
      <c r="W124" s="475" t="s">
        <v>379</v>
      </c>
      <c r="X124" s="475"/>
    </row>
    <row r="125" spans="1:24" ht="30" hidden="1">
      <c r="A125" s="478"/>
      <c r="B125" s="476"/>
      <c r="C125" s="357" t="s">
        <v>630</v>
      </c>
      <c r="D125" s="357" t="s">
        <v>631</v>
      </c>
      <c r="E125" s="359">
        <v>-1</v>
      </c>
      <c r="F125" s="360" t="s">
        <v>92</v>
      </c>
      <c r="G125" s="365">
        <v>10000</v>
      </c>
      <c r="H125" s="353"/>
      <c r="I125" s="353"/>
      <c r="J125" s="353"/>
      <c r="K125" s="353">
        <f t="shared" si="4"/>
        <v>-10000</v>
      </c>
      <c r="L125" s="365"/>
      <c r="M125" s="362"/>
      <c r="N125" s="365"/>
      <c r="O125" s="363"/>
      <c r="P125" s="365">
        <v>-10000</v>
      </c>
      <c r="Q125" s="362">
        <v>43032</v>
      </c>
      <c r="R125" s="374"/>
      <c r="S125" s="488"/>
      <c r="T125" s="489"/>
      <c r="U125" s="477" t="s">
        <v>632</v>
      </c>
      <c r="V125" s="475" t="s">
        <v>378</v>
      </c>
      <c r="W125" s="475"/>
      <c r="X125" s="475"/>
    </row>
    <row r="126" spans="1:24" hidden="1">
      <c r="A126" s="478"/>
      <c r="B126" s="476"/>
      <c r="C126" s="357" t="s">
        <v>633</v>
      </c>
      <c r="D126" s="360" t="s">
        <v>634</v>
      </c>
      <c r="E126" s="359">
        <v>-1</v>
      </c>
      <c r="F126" s="360" t="s">
        <v>92</v>
      </c>
      <c r="G126" s="365">
        <v>1950</v>
      </c>
      <c r="H126" s="353"/>
      <c r="I126" s="353"/>
      <c r="J126" s="353"/>
      <c r="K126" s="353">
        <f t="shared" si="4"/>
        <v>-1950</v>
      </c>
      <c r="L126" s="365"/>
      <c r="M126" s="362"/>
      <c r="N126" s="365"/>
      <c r="O126" s="363"/>
      <c r="P126" s="361">
        <v>-1950</v>
      </c>
      <c r="Q126" s="362">
        <v>43007</v>
      </c>
      <c r="R126" s="374"/>
      <c r="S126" s="483"/>
      <c r="T126" s="484"/>
      <c r="U126" s="477" t="s">
        <v>311</v>
      </c>
      <c r="V126" s="475" t="s">
        <v>378</v>
      </c>
      <c r="W126" s="475"/>
      <c r="X126" s="475"/>
    </row>
    <row r="127" spans="1:24" hidden="1">
      <c r="A127" s="478"/>
      <c r="B127" s="476"/>
      <c r="C127" s="357" t="s">
        <v>635</v>
      </c>
      <c r="D127" s="360" t="s">
        <v>636</v>
      </c>
      <c r="E127" s="359">
        <v>-1</v>
      </c>
      <c r="F127" s="360" t="s">
        <v>92</v>
      </c>
      <c r="G127" s="365">
        <v>27190</v>
      </c>
      <c r="H127" s="353"/>
      <c r="I127" s="353"/>
      <c r="J127" s="353"/>
      <c r="K127" s="353">
        <f t="shared" si="4"/>
        <v>-27190</v>
      </c>
      <c r="L127" s="365"/>
      <c r="M127" s="362"/>
      <c r="N127" s="365"/>
      <c r="O127" s="363"/>
      <c r="P127" s="361">
        <v>-27190</v>
      </c>
      <c r="Q127" s="362">
        <v>43007</v>
      </c>
      <c r="R127" s="374" t="s">
        <v>637</v>
      </c>
      <c r="S127" s="483"/>
      <c r="T127" s="484"/>
      <c r="U127" s="477" t="s">
        <v>311</v>
      </c>
      <c r="V127" s="475" t="s">
        <v>378</v>
      </c>
      <c r="W127" s="475"/>
      <c r="X127" s="475"/>
    </row>
    <row r="128" spans="1:24" ht="30">
      <c r="A128" s="478"/>
      <c r="B128" s="476"/>
      <c r="C128" s="357" t="s">
        <v>638</v>
      </c>
      <c r="D128" s="360" t="s">
        <v>639</v>
      </c>
      <c r="E128" s="359">
        <v>-1</v>
      </c>
      <c r="F128" s="360" t="s">
        <v>92</v>
      </c>
      <c r="G128" s="365">
        <v>4610</v>
      </c>
      <c r="H128" s="353">
        <f>K128</f>
        <v>-4610</v>
      </c>
      <c r="I128" s="353"/>
      <c r="J128" s="353"/>
      <c r="K128" s="353">
        <f t="shared" si="4"/>
        <v>-4610</v>
      </c>
      <c r="L128" s="365">
        <v>-4610</v>
      </c>
      <c r="M128" s="362">
        <v>43007</v>
      </c>
      <c r="N128" s="365"/>
      <c r="O128" s="363"/>
      <c r="P128" s="363"/>
      <c r="Q128" s="362"/>
      <c r="R128" s="374" t="s">
        <v>640</v>
      </c>
      <c r="S128" s="483"/>
      <c r="T128" s="484"/>
      <c r="U128" s="475" t="s">
        <v>377</v>
      </c>
      <c r="V128" s="475" t="s">
        <v>378</v>
      </c>
      <c r="W128" s="475" t="s">
        <v>379</v>
      </c>
      <c r="X128" s="475"/>
    </row>
    <row r="129" spans="1:24">
      <c r="A129" s="478"/>
      <c r="B129" s="476"/>
      <c r="C129" s="357" t="s">
        <v>641</v>
      </c>
      <c r="D129" s="360" t="s">
        <v>642</v>
      </c>
      <c r="E129" s="359">
        <v>-1</v>
      </c>
      <c r="F129" s="360" t="s">
        <v>92</v>
      </c>
      <c r="G129" s="365">
        <v>2500</v>
      </c>
      <c r="H129" s="353">
        <f>K129</f>
        <v>-2500</v>
      </c>
      <c r="I129" s="353"/>
      <c r="J129" s="353"/>
      <c r="K129" s="353">
        <f t="shared" si="4"/>
        <v>-2500</v>
      </c>
      <c r="L129" s="365">
        <v>-2500</v>
      </c>
      <c r="M129" s="362">
        <v>43007</v>
      </c>
      <c r="N129" s="365"/>
      <c r="O129" s="363"/>
      <c r="P129" s="363"/>
      <c r="Q129" s="362"/>
      <c r="R129" s="374"/>
      <c r="S129" s="483"/>
      <c r="T129" s="484"/>
      <c r="U129" s="475" t="s">
        <v>377</v>
      </c>
      <c r="V129" s="475" t="s">
        <v>378</v>
      </c>
      <c r="W129" s="475" t="s">
        <v>379</v>
      </c>
      <c r="X129" s="475"/>
    </row>
    <row r="130" spans="1:24">
      <c r="A130" s="478"/>
      <c r="B130" s="476"/>
      <c r="C130" s="357" t="s">
        <v>643</v>
      </c>
      <c r="D130" s="357" t="s">
        <v>644</v>
      </c>
      <c r="E130" s="359"/>
      <c r="F130" s="360"/>
      <c r="G130" s="379"/>
      <c r="H130" s="353"/>
      <c r="I130" s="353"/>
      <c r="J130" s="353"/>
      <c r="K130" s="353">
        <v>0</v>
      </c>
      <c r="L130" s="365"/>
      <c r="M130" s="362"/>
      <c r="N130" s="365"/>
      <c r="O130" s="363"/>
      <c r="P130" s="363"/>
      <c r="Q130" s="362"/>
      <c r="R130" s="374"/>
      <c r="S130" s="488"/>
      <c r="T130" s="489"/>
      <c r="U130" s="475"/>
      <c r="V130" s="475" t="s">
        <v>378</v>
      </c>
      <c r="W130" s="475" t="s">
        <v>379</v>
      </c>
      <c r="X130" s="475"/>
    </row>
    <row r="131" spans="1:24">
      <c r="A131" s="478"/>
      <c r="B131" s="476"/>
      <c r="C131" s="494" t="s">
        <v>645</v>
      </c>
      <c r="D131" s="357" t="s">
        <v>646</v>
      </c>
      <c r="E131" s="359">
        <v>-1</v>
      </c>
      <c r="F131" s="360" t="s">
        <v>92</v>
      </c>
      <c r="G131" s="379">
        <v>5430</v>
      </c>
      <c r="H131" s="353">
        <f>K131</f>
        <v>-5430</v>
      </c>
      <c r="I131" s="353"/>
      <c r="J131" s="353"/>
      <c r="K131" s="353">
        <f t="shared" si="4"/>
        <v>-5430</v>
      </c>
      <c r="L131" s="365"/>
      <c r="M131" s="362">
        <v>43032</v>
      </c>
      <c r="N131" s="365"/>
      <c r="O131" s="363"/>
      <c r="P131" s="363"/>
      <c r="Q131" s="362"/>
      <c r="R131" s="374" t="s">
        <v>647</v>
      </c>
      <c r="S131" s="488"/>
      <c r="T131" s="489"/>
      <c r="U131" s="475" t="s">
        <v>648</v>
      </c>
      <c r="V131" s="475" t="s">
        <v>378</v>
      </c>
      <c r="W131" s="475" t="s">
        <v>379</v>
      </c>
      <c r="X131" s="475"/>
    </row>
    <row r="132" spans="1:24">
      <c r="A132" s="478"/>
      <c r="B132" s="476"/>
      <c r="C132" s="494" t="s">
        <v>649</v>
      </c>
      <c r="D132" s="357" t="s">
        <v>650</v>
      </c>
      <c r="E132" s="359">
        <v>-1</v>
      </c>
      <c r="F132" s="360" t="s">
        <v>92</v>
      </c>
      <c r="G132" s="379">
        <v>6750</v>
      </c>
      <c r="H132" s="353">
        <f>K132</f>
        <v>-6750</v>
      </c>
      <c r="I132" s="353"/>
      <c r="J132" s="353"/>
      <c r="K132" s="353">
        <f t="shared" si="4"/>
        <v>-6750</v>
      </c>
      <c r="L132" s="365"/>
      <c r="M132" s="362">
        <v>43032</v>
      </c>
      <c r="N132" s="365"/>
      <c r="O132" s="363"/>
      <c r="P132" s="363"/>
      <c r="Q132" s="362"/>
      <c r="R132" s="374" t="s">
        <v>647</v>
      </c>
      <c r="S132" s="488"/>
      <c r="T132" s="489"/>
      <c r="U132" s="475" t="s">
        <v>648</v>
      </c>
      <c r="V132" s="475" t="s">
        <v>378</v>
      </c>
      <c r="W132" s="475" t="s">
        <v>379</v>
      </c>
      <c r="X132" s="475"/>
    </row>
    <row r="133" spans="1:24">
      <c r="A133" s="478"/>
      <c r="B133" s="476"/>
      <c r="C133" s="494" t="s">
        <v>651</v>
      </c>
      <c r="D133" s="357" t="s">
        <v>652</v>
      </c>
      <c r="E133" s="359">
        <v>-1</v>
      </c>
      <c r="F133" s="360" t="s">
        <v>92</v>
      </c>
      <c r="G133" s="379">
        <f>15800-1434</f>
        <v>14366</v>
      </c>
      <c r="H133" s="353">
        <f>K133</f>
        <v>-14366</v>
      </c>
      <c r="I133" s="353"/>
      <c r="J133" s="353"/>
      <c r="K133" s="353">
        <f t="shared" si="4"/>
        <v>-14366</v>
      </c>
      <c r="L133" s="365"/>
      <c r="M133" s="362">
        <v>43032</v>
      </c>
      <c r="N133" s="365"/>
      <c r="O133" s="363"/>
      <c r="P133" s="363"/>
      <c r="Q133" s="362"/>
      <c r="R133" s="374" t="s">
        <v>647</v>
      </c>
      <c r="S133" s="488"/>
      <c r="T133" s="489"/>
      <c r="U133" s="475" t="s">
        <v>648</v>
      </c>
      <c r="V133" s="475" t="s">
        <v>378</v>
      </c>
      <c r="W133" s="475" t="s">
        <v>379</v>
      </c>
      <c r="X133" s="475"/>
    </row>
    <row r="134" spans="1:24" ht="30" hidden="1">
      <c r="A134" s="478"/>
      <c r="B134" s="476"/>
      <c r="C134" s="357" t="s">
        <v>653</v>
      </c>
      <c r="D134" s="357" t="s">
        <v>654</v>
      </c>
      <c r="E134" s="359"/>
      <c r="F134" s="360"/>
      <c r="G134" s="379"/>
      <c r="H134" s="353"/>
      <c r="I134" s="353"/>
      <c r="J134" s="353"/>
      <c r="K134" s="353">
        <f t="shared" si="4"/>
        <v>0</v>
      </c>
      <c r="L134" s="365"/>
      <c r="M134" s="362"/>
      <c r="N134" s="365"/>
      <c r="O134" s="363"/>
      <c r="P134" s="363"/>
      <c r="Q134" s="362">
        <v>43020</v>
      </c>
      <c r="R134" s="357" t="s">
        <v>655</v>
      </c>
      <c r="S134" s="483"/>
      <c r="T134" s="484"/>
      <c r="U134" s="477" t="s">
        <v>656</v>
      </c>
      <c r="V134" s="475" t="s">
        <v>378</v>
      </c>
      <c r="W134" s="475" t="s">
        <v>379</v>
      </c>
      <c r="X134" s="475"/>
    </row>
    <row r="135" spans="1:24">
      <c r="A135" s="478"/>
      <c r="B135" s="476"/>
      <c r="C135" s="357" t="s">
        <v>657</v>
      </c>
      <c r="D135" s="357" t="s">
        <v>658</v>
      </c>
      <c r="E135" s="359">
        <v>-1</v>
      </c>
      <c r="F135" s="360" t="s">
        <v>92</v>
      </c>
      <c r="G135" s="379">
        <v>4500</v>
      </c>
      <c r="H135" s="353">
        <f>L135</f>
        <v>-4500</v>
      </c>
      <c r="I135" s="353"/>
      <c r="J135" s="353"/>
      <c r="K135" s="353">
        <f t="shared" si="4"/>
        <v>-4500</v>
      </c>
      <c r="L135" s="365">
        <v>-4500</v>
      </c>
      <c r="M135" s="362">
        <v>43007</v>
      </c>
      <c r="N135" s="365"/>
      <c r="O135" s="363"/>
      <c r="P135" s="363"/>
      <c r="Q135" s="362"/>
      <c r="R135" s="374"/>
      <c r="S135" s="483"/>
      <c r="T135" s="484"/>
      <c r="U135" s="475" t="s">
        <v>377</v>
      </c>
      <c r="V135" s="475" t="s">
        <v>378</v>
      </c>
      <c r="W135" s="475" t="s">
        <v>379</v>
      </c>
      <c r="X135" s="475"/>
    </row>
    <row r="136" spans="1:24">
      <c r="A136" s="478"/>
      <c r="B136" s="476"/>
      <c r="C136" s="357" t="s">
        <v>659</v>
      </c>
      <c r="D136" s="357" t="s">
        <v>660</v>
      </c>
      <c r="E136" s="359">
        <v>-1</v>
      </c>
      <c r="F136" s="360" t="s">
        <v>92</v>
      </c>
      <c r="G136" s="379">
        <v>9500</v>
      </c>
      <c r="H136" s="353">
        <f>L136</f>
        <v>-9500</v>
      </c>
      <c r="I136" s="353"/>
      <c r="J136" s="353"/>
      <c r="K136" s="353">
        <f t="shared" si="4"/>
        <v>-9500</v>
      </c>
      <c r="L136" s="365">
        <v>-9500</v>
      </c>
      <c r="M136" s="362">
        <v>43007</v>
      </c>
      <c r="N136" s="365"/>
      <c r="O136" s="363"/>
      <c r="P136" s="363"/>
      <c r="Q136" s="362"/>
      <c r="R136" s="374"/>
      <c r="S136" s="483"/>
      <c r="T136" s="484"/>
      <c r="U136" s="475" t="s">
        <v>377</v>
      </c>
      <c r="V136" s="475" t="s">
        <v>378</v>
      </c>
      <c r="W136" s="475" t="s">
        <v>379</v>
      </c>
      <c r="X136" s="475"/>
    </row>
    <row r="137" spans="1:24">
      <c r="A137" s="478"/>
      <c r="B137" s="476"/>
      <c r="C137" s="357" t="s">
        <v>661</v>
      </c>
      <c r="D137" s="357" t="s">
        <v>662</v>
      </c>
      <c r="E137" s="359">
        <v>-1</v>
      </c>
      <c r="F137" s="360" t="s">
        <v>92</v>
      </c>
      <c r="G137" s="379">
        <f>3300+2850</f>
        <v>6150</v>
      </c>
      <c r="H137" s="353">
        <f>L137</f>
        <v>-6150</v>
      </c>
      <c r="I137" s="353"/>
      <c r="J137" s="353"/>
      <c r="K137" s="353">
        <f t="shared" si="4"/>
        <v>-6150</v>
      </c>
      <c r="L137" s="365">
        <v>-6150</v>
      </c>
      <c r="M137" s="362">
        <v>43007</v>
      </c>
      <c r="N137" s="365"/>
      <c r="O137" s="363"/>
      <c r="P137" s="363"/>
      <c r="Q137" s="362"/>
      <c r="R137" s="374"/>
      <c r="S137" s="483"/>
      <c r="T137" s="484"/>
      <c r="U137" s="475" t="s">
        <v>377</v>
      </c>
      <c r="V137" s="475" t="s">
        <v>378</v>
      </c>
      <c r="W137" s="475" t="s">
        <v>379</v>
      </c>
      <c r="X137" s="475"/>
    </row>
    <row r="138" spans="1:24">
      <c r="A138" s="478"/>
      <c r="B138" s="476"/>
      <c r="C138" s="357" t="s">
        <v>663</v>
      </c>
      <c r="D138" s="357" t="s">
        <v>664</v>
      </c>
      <c r="E138" s="359">
        <v>-1</v>
      </c>
      <c r="F138" s="360" t="s">
        <v>92</v>
      </c>
      <c r="G138" s="379">
        <f>+G137</f>
        <v>6150</v>
      </c>
      <c r="H138" s="353">
        <f>L138</f>
        <v>-6150</v>
      </c>
      <c r="I138" s="353"/>
      <c r="J138" s="353"/>
      <c r="K138" s="353">
        <f t="shared" si="4"/>
        <v>-6150</v>
      </c>
      <c r="L138" s="365">
        <v>-6150</v>
      </c>
      <c r="M138" s="362">
        <v>43007</v>
      </c>
      <c r="N138" s="365"/>
      <c r="O138" s="363"/>
      <c r="P138" s="363"/>
      <c r="Q138" s="362"/>
      <c r="R138" s="374"/>
      <c r="S138" s="483"/>
      <c r="T138" s="484"/>
      <c r="U138" s="475" t="s">
        <v>377</v>
      </c>
      <c r="V138" s="475" t="s">
        <v>378</v>
      </c>
      <c r="W138" s="475" t="s">
        <v>379</v>
      </c>
      <c r="X138" s="475"/>
    </row>
    <row r="139" spans="1:24">
      <c r="A139" s="478"/>
      <c r="B139" s="476"/>
      <c r="C139" s="357" t="s">
        <v>665</v>
      </c>
      <c r="D139" s="357" t="s">
        <v>666</v>
      </c>
      <c r="E139" s="359">
        <v>-1</v>
      </c>
      <c r="F139" s="360" t="s">
        <v>92</v>
      </c>
      <c r="G139" s="379">
        <v>24913</v>
      </c>
      <c r="H139" s="353">
        <f>K139</f>
        <v>-24913</v>
      </c>
      <c r="I139" s="353"/>
      <c r="J139" s="353"/>
      <c r="K139" s="353">
        <f t="shared" si="4"/>
        <v>-24913</v>
      </c>
      <c r="L139" s="365">
        <f>K139</f>
        <v>-24913</v>
      </c>
      <c r="M139" s="362">
        <v>43019</v>
      </c>
      <c r="N139" s="365"/>
      <c r="O139" s="363"/>
      <c r="P139" s="363"/>
      <c r="Q139" s="362"/>
      <c r="R139" s="374" t="s">
        <v>667</v>
      </c>
      <c r="S139" s="483"/>
      <c r="T139" s="484"/>
      <c r="U139" s="477" t="s">
        <v>377</v>
      </c>
      <c r="V139" s="475" t="s">
        <v>378</v>
      </c>
      <c r="W139" s="475" t="s">
        <v>379</v>
      </c>
      <c r="X139" s="475"/>
    </row>
    <row r="140" spans="1:24" ht="30">
      <c r="A140" s="478"/>
      <c r="B140" s="476"/>
      <c r="C140" s="357" t="s">
        <v>668</v>
      </c>
      <c r="D140" s="364" t="s">
        <v>669</v>
      </c>
      <c r="E140" s="359">
        <v>-1</v>
      </c>
      <c r="F140" s="360" t="s">
        <v>92</v>
      </c>
      <c r="G140" s="379">
        <v>1350</v>
      </c>
      <c r="H140" s="353">
        <f>K140</f>
        <v>-1350</v>
      </c>
      <c r="I140" s="353"/>
      <c r="J140" s="353"/>
      <c r="K140" s="353">
        <f t="shared" si="4"/>
        <v>-1350</v>
      </c>
      <c r="L140" s="365">
        <f>K140</f>
        <v>-1350</v>
      </c>
      <c r="M140" s="362">
        <v>43049</v>
      </c>
      <c r="N140" s="365"/>
      <c r="O140" s="363"/>
      <c r="P140" s="363"/>
      <c r="Q140" s="362"/>
      <c r="R140" s="374" t="s">
        <v>670</v>
      </c>
      <c r="S140" s="483"/>
      <c r="T140" s="484"/>
      <c r="U140" s="477" t="s">
        <v>671</v>
      </c>
      <c r="V140" s="475" t="s">
        <v>378</v>
      </c>
      <c r="W140" s="475" t="s">
        <v>379</v>
      </c>
      <c r="X140" s="475"/>
    </row>
    <row r="141" spans="1:24" ht="30">
      <c r="A141" s="478"/>
      <c r="B141" s="476"/>
      <c r="C141" s="357" t="s">
        <v>672</v>
      </c>
      <c r="D141" s="357" t="s">
        <v>673</v>
      </c>
      <c r="E141" s="359">
        <v>-1</v>
      </c>
      <c r="F141" s="360" t="s">
        <v>92</v>
      </c>
      <c r="G141" s="379">
        <v>55000</v>
      </c>
      <c r="H141" s="353">
        <f>K141</f>
        <v>-55000</v>
      </c>
      <c r="I141" s="353"/>
      <c r="J141" s="353"/>
      <c r="K141" s="353">
        <f t="shared" si="4"/>
        <v>-55000</v>
      </c>
      <c r="L141" s="365">
        <v>-55000</v>
      </c>
      <c r="M141" s="362">
        <v>43020</v>
      </c>
      <c r="N141" s="365"/>
      <c r="O141" s="363"/>
      <c r="P141" s="363"/>
      <c r="Q141" s="405"/>
      <c r="R141" s="374"/>
      <c r="S141" s="488"/>
      <c r="T141" s="489"/>
      <c r="U141" s="477"/>
      <c r="V141" s="475" t="s">
        <v>378</v>
      </c>
      <c r="W141" s="475" t="s">
        <v>379</v>
      </c>
      <c r="X141" s="475"/>
    </row>
    <row r="142" spans="1:24" hidden="1">
      <c r="A142" s="478"/>
      <c r="B142" s="476"/>
      <c r="C142" s="357" t="s">
        <v>674</v>
      </c>
      <c r="D142" s="357" t="s">
        <v>675</v>
      </c>
      <c r="E142" s="359">
        <v>-1</v>
      </c>
      <c r="F142" s="360" t="s">
        <v>92</v>
      </c>
      <c r="G142" s="379">
        <v>6700</v>
      </c>
      <c r="H142" s="353"/>
      <c r="I142" s="353"/>
      <c r="J142" s="353"/>
      <c r="K142" s="353">
        <f t="shared" si="4"/>
        <v>-6700</v>
      </c>
      <c r="L142" s="365"/>
      <c r="M142" s="362"/>
      <c r="N142" s="365"/>
      <c r="O142" s="363"/>
      <c r="P142" s="361">
        <v>-6700</v>
      </c>
      <c r="Q142" s="362">
        <v>43020</v>
      </c>
      <c r="R142" s="374" t="s">
        <v>676</v>
      </c>
      <c r="S142" s="483"/>
      <c r="T142" s="484"/>
      <c r="U142" s="477"/>
      <c r="V142" s="475" t="s">
        <v>378</v>
      </c>
      <c r="W142" s="475" t="s">
        <v>379</v>
      </c>
      <c r="X142" s="475"/>
    </row>
    <row r="143" spans="1:24" hidden="1">
      <c r="A143" s="478"/>
      <c r="B143" s="476"/>
      <c r="C143" s="357" t="s">
        <v>677</v>
      </c>
      <c r="D143" s="357" t="s">
        <v>678</v>
      </c>
      <c r="E143" s="359">
        <v>-1</v>
      </c>
      <c r="F143" s="360" t="s">
        <v>92</v>
      </c>
      <c r="G143" s="379">
        <v>4610</v>
      </c>
      <c r="H143" s="353"/>
      <c r="I143" s="353"/>
      <c r="J143" s="353"/>
      <c r="K143" s="353"/>
      <c r="L143" s="365">
        <f>K143</f>
        <v>0</v>
      </c>
      <c r="M143" s="362"/>
      <c r="N143" s="365"/>
      <c r="O143" s="363"/>
      <c r="P143" s="363"/>
      <c r="Q143" s="362"/>
      <c r="R143" s="374" t="s">
        <v>679</v>
      </c>
      <c r="S143" s="483"/>
      <c r="T143" s="484"/>
      <c r="U143" s="477"/>
      <c r="V143" s="475" t="s">
        <v>378</v>
      </c>
      <c r="W143" s="475" t="s">
        <v>379</v>
      </c>
      <c r="X143" s="475"/>
    </row>
    <row r="144" spans="1:24" ht="30">
      <c r="A144" s="478"/>
      <c r="B144" s="476"/>
      <c r="C144" s="357" t="s">
        <v>680</v>
      </c>
      <c r="D144" s="357" t="s">
        <v>681</v>
      </c>
      <c r="E144" s="359">
        <v>-1</v>
      </c>
      <c r="F144" s="360" t="s">
        <v>92</v>
      </c>
      <c r="G144" s="379">
        <v>4500</v>
      </c>
      <c r="H144" s="353">
        <f>K144</f>
        <v>-4500</v>
      </c>
      <c r="I144" s="353"/>
      <c r="J144" s="353"/>
      <c r="K144" s="353">
        <f>G144*E144</f>
        <v>-4500</v>
      </c>
      <c r="L144" s="365">
        <f>K144</f>
        <v>-4500</v>
      </c>
      <c r="M144" s="362">
        <v>43028</v>
      </c>
      <c r="N144" s="365"/>
      <c r="O144" s="363"/>
      <c r="P144" s="363"/>
      <c r="Q144" s="362"/>
      <c r="R144" s="374"/>
      <c r="S144" s="483"/>
      <c r="T144" s="484"/>
      <c r="U144" s="477" t="s">
        <v>648</v>
      </c>
      <c r="V144" s="475" t="s">
        <v>378</v>
      </c>
      <c r="W144" s="475" t="s">
        <v>379</v>
      </c>
      <c r="X144" s="475"/>
    </row>
    <row r="145" spans="1:24">
      <c r="A145" s="478"/>
      <c r="B145" s="476"/>
      <c r="C145" s="357" t="s">
        <v>682</v>
      </c>
      <c r="D145" s="357" t="s">
        <v>683</v>
      </c>
      <c r="E145" s="359">
        <v>-1</v>
      </c>
      <c r="F145" s="360" t="s">
        <v>92</v>
      </c>
      <c r="G145" s="379">
        <v>5000</v>
      </c>
      <c r="H145" s="353">
        <f>K145</f>
        <v>-5000</v>
      </c>
      <c r="I145" s="353"/>
      <c r="J145" s="353"/>
      <c r="K145" s="353">
        <f>G145*E145</f>
        <v>-5000</v>
      </c>
      <c r="L145" s="365">
        <f>K145</f>
        <v>-5000</v>
      </c>
      <c r="M145" s="362">
        <v>43028</v>
      </c>
      <c r="N145" s="365"/>
      <c r="O145" s="363"/>
      <c r="P145" s="363"/>
      <c r="Q145" s="362"/>
      <c r="R145" s="374"/>
      <c r="S145" s="483"/>
      <c r="T145" s="484"/>
      <c r="U145" s="477"/>
      <c r="V145" s="475" t="s">
        <v>378</v>
      </c>
      <c r="W145" s="475" t="s">
        <v>379</v>
      </c>
      <c r="X145" s="475"/>
    </row>
    <row r="146" spans="1:24">
      <c r="A146" s="478"/>
      <c r="B146" s="476"/>
      <c r="C146" s="357" t="s">
        <v>684</v>
      </c>
      <c r="D146" s="357" t="s">
        <v>685</v>
      </c>
      <c r="E146" s="359">
        <v>-1</v>
      </c>
      <c r="F146" s="360" t="s">
        <v>92</v>
      </c>
      <c r="G146" s="379">
        <v>5245</v>
      </c>
      <c r="H146" s="353">
        <f>L146</f>
        <v>-5245</v>
      </c>
      <c r="I146" s="353"/>
      <c r="J146" s="353"/>
      <c r="K146" s="353">
        <f>G146*E146</f>
        <v>-5245</v>
      </c>
      <c r="L146" s="365">
        <f>K146</f>
        <v>-5245</v>
      </c>
      <c r="M146" s="362">
        <v>43028</v>
      </c>
      <c r="N146" s="365"/>
      <c r="O146" s="363"/>
      <c r="P146" s="363"/>
      <c r="Q146" s="362"/>
      <c r="R146" s="374"/>
      <c r="S146" s="483"/>
      <c r="T146" s="484"/>
      <c r="U146" s="477"/>
      <c r="V146" s="475" t="s">
        <v>378</v>
      </c>
      <c r="W146" s="475" t="s">
        <v>379</v>
      </c>
      <c r="X146" s="475"/>
    </row>
    <row r="147" spans="1:24" ht="30">
      <c r="A147" s="478"/>
      <c r="B147" s="476"/>
      <c r="C147" s="357" t="s">
        <v>686</v>
      </c>
      <c r="D147" s="357" t="s">
        <v>687</v>
      </c>
      <c r="E147" s="359">
        <v>-1</v>
      </c>
      <c r="F147" s="360" t="s">
        <v>92</v>
      </c>
      <c r="G147" s="379">
        <v>83357</v>
      </c>
      <c r="H147" s="353">
        <f>K147</f>
        <v>-83357</v>
      </c>
      <c r="I147" s="353"/>
      <c r="J147" s="353"/>
      <c r="K147" s="353">
        <f>G147*E147</f>
        <v>-83357</v>
      </c>
      <c r="L147" s="365"/>
      <c r="M147" s="362"/>
      <c r="N147" s="365">
        <f>K147</f>
        <v>-83357</v>
      </c>
      <c r="O147" s="363"/>
      <c r="P147" s="363"/>
      <c r="Q147" s="362"/>
      <c r="R147" s="374" t="s">
        <v>688</v>
      </c>
      <c r="S147" s="488"/>
      <c r="T147" s="489"/>
      <c r="U147" s="477" t="s">
        <v>689</v>
      </c>
      <c r="V147" s="475" t="s">
        <v>378</v>
      </c>
      <c r="W147" s="475" t="s">
        <v>690</v>
      </c>
      <c r="X147" s="496">
        <f>28000+5100</f>
        <v>33100</v>
      </c>
    </row>
    <row r="148" spans="1:24">
      <c r="A148" s="478"/>
      <c r="B148" s="476"/>
      <c r="C148" s="357" t="s">
        <v>691</v>
      </c>
      <c r="D148" s="357" t="s">
        <v>692</v>
      </c>
      <c r="E148" s="359">
        <v>-1</v>
      </c>
      <c r="F148" s="360" t="s">
        <v>92</v>
      </c>
      <c r="G148" s="379">
        <v>50000</v>
      </c>
      <c r="H148" s="353"/>
      <c r="I148" s="353">
        <f>K148</f>
        <v>-50000</v>
      </c>
      <c r="J148" s="353"/>
      <c r="K148" s="353">
        <f>G148*E148</f>
        <v>-50000</v>
      </c>
      <c r="L148" s="365"/>
      <c r="M148" s="362"/>
      <c r="N148" s="365">
        <v>-50000</v>
      </c>
      <c r="O148" s="363"/>
      <c r="P148" s="363"/>
      <c r="Q148" s="362"/>
      <c r="R148" s="374"/>
      <c r="S148" s="483"/>
      <c r="T148" s="484"/>
      <c r="U148" s="477"/>
      <c r="V148" s="475" t="s">
        <v>378</v>
      </c>
      <c r="W148" s="475" t="s">
        <v>379</v>
      </c>
      <c r="X148" s="496">
        <v>0</v>
      </c>
    </row>
    <row r="149" spans="1:24">
      <c r="A149" s="478"/>
      <c r="B149" s="476"/>
      <c r="C149" s="357"/>
      <c r="D149" s="357"/>
      <c r="E149" s="359"/>
      <c r="F149" s="360"/>
      <c r="G149" s="379"/>
      <c r="H149" s="353"/>
      <c r="I149" s="353"/>
      <c r="J149" s="353"/>
      <c r="K149" s="353"/>
      <c r="L149" s="365"/>
      <c r="M149" s="362"/>
      <c r="N149" s="365"/>
      <c r="O149" s="363"/>
      <c r="P149" s="363"/>
      <c r="Q149" s="362"/>
      <c r="R149" s="374"/>
      <c r="S149" s="483"/>
      <c r="T149" s="484"/>
      <c r="U149" s="477"/>
      <c r="V149" s="477"/>
      <c r="W149" s="477"/>
      <c r="X149" s="477"/>
    </row>
    <row r="150" spans="1:24">
      <c r="A150" s="478"/>
      <c r="B150" s="476"/>
      <c r="C150" s="357"/>
      <c r="D150" s="357"/>
      <c r="E150" s="359"/>
      <c r="F150" s="360"/>
      <c r="G150" s="379"/>
      <c r="H150" s="353"/>
      <c r="I150" s="353"/>
      <c r="J150" s="353"/>
      <c r="K150" s="353"/>
      <c r="L150" s="365"/>
      <c r="M150" s="362"/>
      <c r="N150" s="365"/>
      <c r="O150" s="363"/>
      <c r="P150" s="363"/>
      <c r="Q150" s="362"/>
      <c r="R150" s="374"/>
      <c r="S150" s="483"/>
      <c r="T150" s="484"/>
      <c r="U150" s="477"/>
      <c r="V150" s="477"/>
      <c r="W150" s="477"/>
      <c r="X150" s="477"/>
    </row>
    <row r="151" spans="1:24">
      <c r="A151" s="478"/>
      <c r="B151" s="476"/>
      <c r="C151" s="357"/>
      <c r="D151" s="357"/>
      <c r="E151" s="359"/>
      <c r="F151" s="360"/>
      <c r="G151" s="379"/>
      <c r="H151" s="353"/>
      <c r="I151" s="353"/>
      <c r="J151" s="353"/>
      <c r="K151" s="353"/>
      <c r="L151" s="365"/>
      <c r="M151" s="362"/>
      <c r="N151" s="365"/>
      <c r="O151" s="363"/>
      <c r="P151" s="363"/>
      <c r="Q151" s="362"/>
      <c r="R151" s="374"/>
      <c r="S151" s="483"/>
      <c r="T151" s="484"/>
      <c r="U151" s="477"/>
      <c r="V151" s="477"/>
      <c r="W151" s="477"/>
      <c r="X151" s="477"/>
    </row>
    <row r="152" spans="1:24">
      <c r="A152" s="478"/>
      <c r="B152" s="476"/>
      <c r="C152" s="357" t="s">
        <v>693</v>
      </c>
      <c r="D152" s="357" t="s">
        <v>694</v>
      </c>
      <c r="E152" s="359">
        <v>-1</v>
      </c>
      <c r="F152" s="360" t="s">
        <v>92</v>
      </c>
      <c r="G152" s="379">
        <v>50000</v>
      </c>
      <c r="H152" s="353">
        <f>K152</f>
        <v>-50000</v>
      </c>
      <c r="I152" s="353"/>
      <c r="J152" s="353"/>
      <c r="K152" s="353">
        <f t="shared" ref="K152:K169" si="6">G152*E152</f>
        <v>-50000</v>
      </c>
      <c r="L152" s="365">
        <f>K152</f>
        <v>-50000</v>
      </c>
      <c r="M152" s="362">
        <v>43018</v>
      </c>
      <c r="N152" s="365"/>
      <c r="O152" s="363"/>
      <c r="P152" s="363"/>
      <c r="Q152" s="362"/>
      <c r="R152" s="374" t="s">
        <v>695</v>
      </c>
      <c r="S152" s="483"/>
      <c r="T152" s="484"/>
      <c r="U152" s="475" t="s">
        <v>377</v>
      </c>
      <c r="V152" s="475" t="s">
        <v>378</v>
      </c>
      <c r="W152" s="475" t="s">
        <v>696</v>
      </c>
      <c r="X152" s="475"/>
    </row>
    <row r="153" spans="1:24" ht="60">
      <c r="A153" s="478"/>
      <c r="B153" s="476"/>
      <c r="C153" s="357" t="s">
        <v>697</v>
      </c>
      <c r="D153" s="357" t="s">
        <v>698</v>
      </c>
      <c r="E153" s="359">
        <v>-1</v>
      </c>
      <c r="F153" s="360" t="s">
        <v>92</v>
      </c>
      <c r="G153" s="379">
        <v>1780</v>
      </c>
      <c r="H153" s="353">
        <f>L153</f>
        <v>-1780</v>
      </c>
      <c r="I153" s="353"/>
      <c r="J153" s="353"/>
      <c r="K153" s="353">
        <f t="shared" si="6"/>
        <v>-1780</v>
      </c>
      <c r="L153" s="365">
        <f>K153</f>
        <v>-1780</v>
      </c>
      <c r="M153" s="362">
        <v>43018</v>
      </c>
      <c r="N153" s="365"/>
      <c r="O153" s="363"/>
      <c r="P153" s="363"/>
      <c r="Q153" s="362"/>
      <c r="R153" s="357" t="s">
        <v>699</v>
      </c>
      <c r="S153" s="488"/>
      <c r="T153" s="489"/>
      <c r="U153" s="475" t="s">
        <v>700</v>
      </c>
      <c r="V153" s="475" t="s">
        <v>378</v>
      </c>
      <c r="W153" s="475" t="s">
        <v>696</v>
      </c>
      <c r="X153" s="475"/>
    </row>
    <row r="154" spans="1:24" ht="45">
      <c r="A154" s="478"/>
      <c r="B154" s="476"/>
      <c r="C154" s="357" t="s">
        <v>701</v>
      </c>
      <c r="D154" s="357" t="s">
        <v>702</v>
      </c>
      <c r="E154" s="359">
        <v>-2</v>
      </c>
      <c r="F154" s="360" t="s">
        <v>89</v>
      </c>
      <c r="G154" s="379">
        <v>3800</v>
      </c>
      <c r="H154" s="353">
        <f>L154</f>
        <v>-7600</v>
      </c>
      <c r="I154" s="353"/>
      <c r="J154" s="353"/>
      <c r="K154" s="353">
        <f t="shared" si="6"/>
        <v>-7600</v>
      </c>
      <c r="L154" s="365">
        <f>K154</f>
        <v>-7600</v>
      </c>
      <c r="M154" s="362">
        <v>43027</v>
      </c>
      <c r="N154" s="365"/>
      <c r="O154" s="363"/>
      <c r="P154" s="363"/>
      <c r="Q154" s="362"/>
      <c r="R154" s="374"/>
      <c r="S154" s="488"/>
      <c r="T154" s="489"/>
      <c r="U154" s="475" t="s">
        <v>648</v>
      </c>
      <c r="V154" s="475" t="s">
        <v>378</v>
      </c>
      <c r="W154" s="475" t="s">
        <v>696</v>
      </c>
      <c r="X154" s="475"/>
    </row>
    <row r="155" spans="1:24" ht="31.5">
      <c r="A155" s="478"/>
      <c r="B155" s="476"/>
      <c r="C155" s="357" t="s">
        <v>703</v>
      </c>
      <c r="D155" s="357" t="s">
        <v>704</v>
      </c>
      <c r="E155" s="359">
        <v>-1</v>
      </c>
      <c r="F155" s="360" t="s">
        <v>92</v>
      </c>
      <c r="G155" s="379">
        <v>3800</v>
      </c>
      <c r="H155" s="353">
        <f>L155</f>
        <v>-3800</v>
      </c>
      <c r="I155" s="353"/>
      <c r="J155" s="353"/>
      <c r="K155" s="353">
        <f t="shared" si="6"/>
        <v>-3800</v>
      </c>
      <c r="L155" s="365">
        <f>K155</f>
        <v>-3800</v>
      </c>
      <c r="M155" s="362">
        <v>43018</v>
      </c>
      <c r="N155" s="365"/>
      <c r="O155" s="363"/>
      <c r="P155" s="363"/>
      <c r="Q155" s="362"/>
      <c r="R155" s="374" t="s">
        <v>705</v>
      </c>
      <c r="S155" s="483"/>
      <c r="T155" s="484"/>
      <c r="U155" s="475" t="s">
        <v>648</v>
      </c>
      <c r="V155" s="475" t="s">
        <v>378</v>
      </c>
      <c r="W155" s="475" t="s">
        <v>696</v>
      </c>
      <c r="X155" s="475"/>
    </row>
    <row r="156" spans="1:24" ht="30">
      <c r="A156" s="478"/>
      <c r="B156" s="476"/>
      <c r="C156" s="357" t="s">
        <v>706</v>
      </c>
      <c r="D156" s="357" t="s">
        <v>707</v>
      </c>
      <c r="E156" s="359">
        <v>-11</v>
      </c>
      <c r="F156" s="360" t="s">
        <v>89</v>
      </c>
      <c r="G156" s="379">
        <v>895</v>
      </c>
      <c r="H156" s="353">
        <f>L156</f>
        <v>-9845</v>
      </c>
      <c r="I156" s="353"/>
      <c r="J156" s="353"/>
      <c r="K156" s="353">
        <f t="shared" si="6"/>
        <v>-9845</v>
      </c>
      <c r="L156" s="365">
        <f>K156</f>
        <v>-9845</v>
      </c>
      <c r="M156" s="362">
        <v>43018</v>
      </c>
      <c r="N156" s="365"/>
      <c r="O156" s="363"/>
      <c r="P156" s="363"/>
      <c r="Q156" s="362"/>
      <c r="R156" s="374"/>
      <c r="S156" s="483"/>
      <c r="T156" s="484"/>
      <c r="U156" s="475" t="s">
        <v>648</v>
      </c>
      <c r="V156" s="475" t="s">
        <v>378</v>
      </c>
      <c r="W156" s="475" t="s">
        <v>696</v>
      </c>
      <c r="X156" s="475"/>
    </row>
    <row r="157" spans="1:24" ht="28.5" hidden="1">
      <c r="A157" s="478"/>
      <c r="B157" s="476"/>
      <c r="C157" s="357" t="s">
        <v>708</v>
      </c>
      <c r="D157" s="406" t="s">
        <v>709</v>
      </c>
      <c r="E157" s="359">
        <v>-13</v>
      </c>
      <c r="F157" s="360" t="s">
        <v>89</v>
      </c>
      <c r="G157" s="379">
        <f>17000/19</f>
        <v>894.73684210526312</v>
      </c>
      <c r="H157" s="353"/>
      <c r="I157" s="353"/>
      <c r="J157" s="353"/>
      <c r="K157" s="353">
        <f t="shared" si="6"/>
        <v>-11631.57894736842</v>
      </c>
      <c r="L157" s="365"/>
      <c r="M157" s="362"/>
      <c r="N157" s="365"/>
      <c r="O157" s="363"/>
      <c r="P157" s="362">
        <v>43018</v>
      </c>
      <c r="Q157" s="378">
        <f>K157</f>
        <v>-11631.57894736842</v>
      </c>
      <c r="R157" s="374"/>
      <c r="S157" s="483"/>
      <c r="T157" s="484"/>
      <c r="U157" s="475" t="s">
        <v>377</v>
      </c>
      <c r="V157" s="475" t="s">
        <v>378</v>
      </c>
      <c r="W157" s="475" t="s">
        <v>696</v>
      </c>
      <c r="X157" s="475"/>
    </row>
    <row r="158" spans="1:24" ht="31.5" hidden="1">
      <c r="A158" s="478"/>
      <c r="B158" s="476"/>
      <c r="C158" s="357" t="s">
        <v>710</v>
      </c>
      <c r="D158" s="357" t="s">
        <v>711</v>
      </c>
      <c r="E158" s="359">
        <v>-2</v>
      </c>
      <c r="F158" s="360" t="s">
        <v>89</v>
      </c>
      <c r="G158" s="379">
        <v>137</v>
      </c>
      <c r="H158" s="353"/>
      <c r="I158" s="353"/>
      <c r="J158" s="353"/>
      <c r="K158" s="353">
        <f t="shared" si="6"/>
        <v>-274</v>
      </c>
      <c r="L158" s="365"/>
      <c r="M158" s="362"/>
      <c r="N158" s="365"/>
      <c r="O158" s="363"/>
      <c r="P158" s="362">
        <v>43018</v>
      </c>
      <c r="Q158" s="378">
        <f>K158</f>
        <v>-274</v>
      </c>
      <c r="R158" s="374"/>
      <c r="S158" s="483"/>
      <c r="T158" s="484"/>
      <c r="U158" s="475" t="s">
        <v>377</v>
      </c>
      <c r="V158" s="475" t="s">
        <v>378</v>
      </c>
      <c r="W158" s="475" t="s">
        <v>696</v>
      </c>
      <c r="X158" s="475"/>
    </row>
    <row r="159" spans="1:24" ht="30">
      <c r="A159" s="478"/>
      <c r="B159" s="476"/>
      <c r="C159" s="357" t="s">
        <v>712</v>
      </c>
      <c r="D159" s="357" t="s">
        <v>713</v>
      </c>
      <c r="E159" s="359">
        <v>-12</v>
      </c>
      <c r="F159" s="360" t="s">
        <v>89</v>
      </c>
      <c r="G159" s="379">
        <v>300</v>
      </c>
      <c r="H159" s="353">
        <f>L159</f>
        <v>-3600</v>
      </c>
      <c r="I159" s="353"/>
      <c r="J159" s="353"/>
      <c r="K159" s="353">
        <f t="shared" si="6"/>
        <v>-3600</v>
      </c>
      <c r="L159" s="365">
        <f>K159</f>
        <v>-3600</v>
      </c>
      <c r="M159" s="362">
        <v>43027</v>
      </c>
      <c r="N159" s="365"/>
      <c r="O159" s="363"/>
      <c r="P159" s="363"/>
      <c r="Q159" s="362"/>
      <c r="R159" s="374"/>
      <c r="S159" s="488"/>
      <c r="T159" s="489"/>
      <c r="U159" s="475" t="s">
        <v>648</v>
      </c>
      <c r="V159" s="475" t="s">
        <v>378</v>
      </c>
      <c r="W159" s="475" t="s">
        <v>696</v>
      </c>
      <c r="X159" s="475"/>
    </row>
    <row r="160" spans="1:24" ht="30">
      <c r="A160" s="478"/>
      <c r="B160" s="476"/>
      <c r="C160" s="357" t="s">
        <v>714</v>
      </c>
      <c r="D160" s="357" t="s">
        <v>715</v>
      </c>
      <c r="E160" s="359">
        <v>-1</v>
      </c>
      <c r="F160" s="360" t="s">
        <v>92</v>
      </c>
      <c r="G160" s="379">
        <v>500</v>
      </c>
      <c r="H160" s="353">
        <f>L160</f>
        <v>-500</v>
      </c>
      <c r="I160" s="353"/>
      <c r="J160" s="353"/>
      <c r="K160" s="353">
        <f t="shared" si="6"/>
        <v>-500</v>
      </c>
      <c r="L160" s="365">
        <f>K160</f>
        <v>-500</v>
      </c>
      <c r="M160" s="362">
        <v>43027</v>
      </c>
      <c r="N160" s="365"/>
      <c r="O160" s="363"/>
      <c r="P160" s="361"/>
      <c r="Q160" s="362"/>
      <c r="R160" s="374"/>
      <c r="S160" s="483"/>
      <c r="T160" s="484"/>
      <c r="U160" s="475" t="s">
        <v>648</v>
      </c>
      <c r="V160" s="475" t="s">
        <v>378</v>
      </c>
      <c r="W160" s="475" t="s">
        <v>696</v>
      </c>
      <c r="X160" s="475"/>
    </row>
    <row r="161" spans="1:24" ht="30">
      <c r="A161" s="478"/>
      <c r="B161" s="476"/>
      <c r="C161" s="357" t="s">
        <v>716</v>
      </c>
      <c r="D161" s="357" t="s">
        <v>717</v>
      </c>
      <c r="E161" s="359">
        <v>-1</v>
      </c>
      <c r="F161" s="360" t="s">
        <v>92</v>
      </c>
      <c r="G161" s="379">
        <v>2385</v>
      </c>
      <c r="H161" s="353">
        <f>L161</f>
        <v>-2385</v>
      </c>
      <c r="I161" s="353"/>
      <c r="J161" s="353"/>
      <c r="K161" s="353">
        <f t="shared" si="6"/>
        <v>-2385</v>
      </c>
      <c r="L161" s="365">
        <v>-2385</v>
      </c>
      <c r="M161" s="362">
        <v>43020</v>
      </c>
      <c r="N161" s="365"/>
      <c r="O161" s="363"/>
      <c r="P161" s="363"/>
      <c r="Q161" s="362"/>
      <c r="R161" s="374"/>
      <c r="S161" s="483"/>
      <c r="T161" s="484"/>
      <c r="U161" s="475" t="s">
        <v>648</v>
      </c>
      <c r="V161" s="475" t="s">
        <v>378</v>
      </c>
      <c r="W161" s="475" t="s">
        <v>696</v>
      </c>
      <c r="X161" s="475"/>
    </row>
    <row r="162" spans="1:24" ht="30">
      <c r="A162" s="478"/>
      <c r="B162" s="476"/>
      <c r="C162" s="357" t="s">
        <v>718</v>
      </c>
      <c r="D162" s="476" t="s">
        <v>719</v>
      </c>
      <c r="E162" s="359">
        <v>-1</v>
      </c>
      <c r="F162" s="360" t="s">
        <v>92</v>
      </c>
      <c r="G162" s="379">
        <v>87500</v>
      </c>
      <c r="H162" s="353"/>
      <c r="I162" s="353">
        <f>L162</f>
        <v>-77000</v>
      </c>
      <c r="J162" s="353"/>
      <c r="K162" s="353">
        <f>(G162*E162)-SUM(K163:K164)</f>
        <v>-77000</v>
      </c>
      <c r="L162" s="365">
        <f>K162</f>
        <v>-77000</v>
      </c>
      <c r="M162" s="362">
        <v>43020</v>
      </c>
      <c r="N162" s="365"/>
      <c r="O162" s="363"/>
      <c r="P162" s="363"/>
      <c r="Q162" s="362"/>
      <c r="R162" s="357" t="s">
        <v>720</v>
      </c>
      <c r="S162" s="488"/>
      <c r="T162" s="489"/>
      <c r="U162" s="475" t="s">
        <v>721</v>
      </c>
      <c r="V162" s="475" t="s">
        <v>378</v>
      </c>
      <c r="W162" s="475" t="s">
        <v>696</v>
      </c>
      <c r="X162" s="475"/>
    </row>
    <row r="163" spans="1:24" ht="30">
      <c r="A163" s="478"/>
      <c r="B163" s="476"/>
      <c r="C163" s="494" t="s">
        <v>722</v>
      </c>
      <c r="D163" s="357" t="s">
        <v>723</v>
      </c>
      <c r="E163" s="359">
        <v>-84</v>
      </c>
      <c r="F163" s="360" t="s">
        <v>112</v>
      </c>
      <c r="G163" s="379">
        <v>125</v>
      </c>
      <c r="H163" s="353"/>
      <c r="I163" s="353">
        <f>L163</f>
        <v>-10500</v>
      </c>
      <c r="J163" s="353"/>
      <c r="K163" s="353">
        <f>G163*E163</f>
        <v>-10500</v>
      </c>
      <c r="L163" s="365">
        <f>K163</f>
        <v>-10500</v>
      </c>
      <c r="M163" s="362">
        <v>43028</v>
      </c>
      <c r="N163" s="365"/>
      <c r="O163" s="363"/>
      <c r="P163" s="363"/>
      <c r="Q163" s="362"/>
      <c r="R163" s="357"/>
      <c r="S163" s="488"/>
      <c r="T163" s="489"/>
      <c r="U163" s="475" t="s">
        <v>724</v>
      </c>
      <c r="V163" s="475" t="s">
        <v>725</v>
      </c>
      <c r="W163" s="475" t="s">
        <v>696</v>
      </c>
      <c r="X163" s="475"/>
    </row>
    <row r="164" spans="1:24" ht="45">
      <c r="A164" s="478"/>
      <c r="B164" s="476"/>
      <c r="C164" s="494" t="s">
        <v>726</v>
      </c>
      <c r="D164" s="357" t="s">
        <v>727</v>
      </c>
      <c r="E164" s="359"/>
      <c r="F164" s="360"/>
      <c r="G164" s="379"/>
      <c r="H164" s="353"/>
      <c r="I164" s="353"/>
      <c r="J164" s="353"/>
      <c r="K164" s="353">
        <f>G164*E164</f>
        <v>0</v>
      </c>
      <c r="L164" s="365">
        <f>K164</f>
        <v>0</v>
      </c>
      <c r="M164" s="362"/>
      <c r="N164" s="365"/>
      <c r="O164" s="363"/>
      <c r="P164" s="363"/>
      <c r="Q164" s="362"/>
      <c r="R164" s="357" t="s">
        <v>728</v>
      </c>
      <c r="S164" s="488"/>
      <c r="T164" s="489"/>
      <c r="U164" s="475" t="s">
        <v>724</v>
      </c>
      <c r="V164" s="475" t="s">
        <v>378</v>
      </c>
      <c r="W164" s="497" t="s">
        <v>729</v>
      </c>
      <c r="X164" s="497"/>
    </row>
    <row r="165" spans="1:24" ht="45">
      <c r="A165" s="478"/>
      <c r="B165" s="476"/>
      <c r="C165" s="357" t="s">
        <v>730</v>
      </c>
      <c r="D165" s="357" t="s">
        <v>731</v>
      </c>
      <c r="E165" s="359">
        <v>-1</v>
      </c>
      <c r="F165" s="360" t="s">
        <v>92</v>
      </c>
      <c r="G165" s="379">
        <v>22000</v>
      </c>
      <c r="H165" s="353"/>
      <c r="I165" s="353">
        <f>K165</f>
        <v>-22000</v>
      </c>
      <c r="J165" s="353"/>
      <c r="K165" s="353">
        <f>G165*E165</f>
        <v>-22000</v>
      </c>
      <c r="L165" s="365"/>
      <c r="M165" s="362"/>
      <c r="N165" s="365"/>
      <c r="O165" s="363"/>
      <c r="P165" s="363"/>
      <c r="Q165" s="362"/>
      <c r="R165" s="374" t="s">
        <v>732</v>
      </c>
      <c r="S165" s="488"/>
      <c r="T165" s="489"/>
      <c r="U165" s="477" t="s">
        <v>733</v>
      </c>
      <c r="V165" s="475" t="s">
        <v>505</v>
      </c>
      <c r="W165" s="498" t="s">
        <v>734</v>
      </c>
      <c r="X165" s="498"/>
    </row>
    <row r="166" spans="1:24">
      <c r="A166" s="478"/>
      <c r="B166" s="476"/>
      <c r="C166" s="357" t="s">
        <v>735</v>
      </c>
      <c r="D166" s="357" t="s">
        <v>736</v>
      </c>
      <c r="E166" s="359">
        <v>-1</v>
      </c>
      <c r="F166" s="360" t="s">
        <v>92</v>
      </c>
      <c r="G166" s="379">
        <v>3800</v>
      </c>
      <c r="H166" s="353">
        <f>K166</f>
        <v>-3800</v>
      </c>
      <c r="I166" s="353"/>
      <c r="J166" s="353"/>
      <c r="K166" s="353">
        <f t="shared" si="6"/>
        <v>-3800</v>
      </c>
      <c r="L166" s="365">
        <f>K166</f>
        <v>-3800</v>
      </c>
      <c r="M166" s="362">
        <v>43027</v>
      </c>
      <c r="N166" s="365"/>
      <c r="O166" s="363"/>
      <c r="P166" s="363"/>
      <c r="Q166" s="362"/>
      <c r="R166" s="374"/>
      <c r="S166" s="488"/>
      <c r="T166" s="489"/>
      <c r="U166" s="475" t="s">
        <v>648</v>
      </c>
      <c r="V166" s="475" t="s">
        <v>378</v>
      </c>
      <c r="W166" s="475" t="s">
        <v>737</v>
      </c>
      <c r="X166" s="475"/>
    </row>
    <row r="167" spans="1:24" ht="30">
      <c r="A167" s="478"/>
      <c r="B167" s="476"/>
      <c r="C167" s="357" t="s">
        <v>738</v>
      </c>
      <c r="D167" s="357" t="s">
        <v>739</v>
      </c>
      <c r="E167" s="359"/>
      <c r="F167" s="360"/>
      <c r="G167" s="379"/>
      <c r="H167" s="353"/>
      <c r="I167" s="353"/>
      <c r="J167" s="353"/>
      <c r="K167" s="353"/>
      <c r="L167" s="365"/>
      <c r="M167" s="362"/>
      <c r="N167" s="365"/>
      <c r="O167" s="363"/>
      <c r="P167" s="363"/>
      <c r="Q167" s="362"/>
      <c r="R167" s="374" t="s">
        <v>740</v>
      </c>
      <c r="S167" s="488"/>
      <c r="T167" s="489"/>
      <c r="U167" s="475" t="s">
        <v>648</v>
      </c>
      <c r="V167" s="475" t="s">
        <v>378</v>
      </c>
      <c r="W167" s="497" t="s">
        <v>741</v>
      </c>
      <c r="X167" s="497"/>
    </row>
    <row r="168" spans="1:24" ht="30">
      <c r="A168" s="478"/>
      <c r="B168" s="476"/>
      <c r="C168" s="357" t="s">
        <v>742</v>
      </c>
      <c r="D168" s="357" t="s">
        <v>743</v>
      </c>
      <c r="E168" s="359">
        <v>-2</v>
      </c>
      <c r="F168" s="360" t="s">
        <v>92</v>
      </c>
      <c r="G168" s="379">
        <f>30909/2</f>
        <v>15454.5</v>
      </c>
      <c r="H168" s="353">
        <f>K168</f>
        <v>-30909</v>
      </c>
      <c r="I168" s="353"/>
      <c r="J168" s="353"/>
      <c r="K168" s="353">
        <f t="shared" si="6"/>
        <v>-30909</v>
      </c>
      <c r="L168" s="365">
        <f>K168</f>
        <v>-30909</v>
      </c>
      <c r="M168" s="362">
        <v>43049</v>
      </c>
      <c r="N168" s="365"/>
      <c r="O168" s="363"/>
      <c r="P168" s="363"/>
      <c r="Q168" s="362"/>
      <c r="R168" s="374"/>
      <c r="S168" s="488"/>
      <c r="T168" s="489"/>
      <c r="U168" s="475" t="s">
        <v>744</v>
      </c>
      <c r="V168" s="475" t="s">
        <v>378</v>
      </c>
      <c r="W168" s="475" t="s">
        <v>745</v>
      </c>
      <c r="X168" s="475"/>
    </row>
    <row r="169" spans="1:24">
      <c r="A169" s="478"/>
      <c r="B169" s="476"/>
      <c r="C169" s="357" t="s">
        <v>746</v>
      </c>
      <c r="D169" s="357" t="s">
        <v>747</v>
      </c>
      <c r="E169" s="359">
        <v>-6</v>
      </c>
      <c r="F169" s="360" t="s">
        <v>92</v>
      </c>
      <c r="G169" s="379">
        <v>6700</v>
      </c>
      <c r="H169" s="353">
        <f>K169</f>
        <v>-40200</v>
      </c>
      <c r="I169" s="353"/>
      <c r="J169" s="353"/>
      <c r="K169" s="353">
        <f t="shared" si="6"/>
        <v>-40200</v>
      </c>
      <c r="L169" s="365">
        <f>+K169</f>
        <v>-40200</v>
      </c>
      <c r="M169" s="362">
        <v>43049</v>
      </c>
      <c r="N169" s="365"/>
      <c r="O169" s="363"/>
      <c r="P169" s="363"/>
      <c r="Q169" s="362"/>
      <c r="R169" s="374"/>
      <c r="S169" s="488"/>
      <c r="T169" s="489"/>
      <c r="U169" s="477"/>
      <c r="V169" s="475" t="s">
        <v>378</v>
      </c>
      <c r="W169" s="475" t="s">
        <v>748</v>
      </c>
      <c r="X169" s="475"/>
    </row>
    <row r="170" spans="1:24" hidden="1">
      <c r="A170" s="478"/>
      <c r="B170" s="476"/>
      <c r="C170" s="357" t="s">
        <v>749</v>
      </c>
      <c r="D170" s="407" t="s">
        <v>750</v>
      </c>
      <c r="E170" s="359"/>
      <c r="F170" s="360"/>
      <c r="G170" s="379"/>
      <c r="H170" s="353"/>
      <c r="I170" s="353"/>
      <c r="J170" s="353"/>
      <c r="K170" s="353"/>
      <c r="L170" s="365"/>
      <c r="M170" s="362"/>
      <c r="N170" s="365"/>
      <c r="O170" s="363"/>
      <c r="P170" s="363"/>
      <c r="Q170" s="362"/>
      <c r="R170" s="374"/>
      <c r="S170" s="488"/>
      <c r="T170" s="489"/>
      <c r="U170" s="477"/>
      <c r="V170" s="477"/>
      <c r="W170" s="477"/>
      <c r="X170" s="477"/>
    </row>
    <row r="171" spans="1:24">
      <c r="A171" s="478"/>
      <c r="B171" s="476"/>
      <c r="C171" s="357"/>
      <c r="D171" s="357"/>
      <c r="E171" s="359"/>
      <c r="F171" s="360"/>
      <c r="G171" s="379"/>
      <c r="H171" s="353"/>
      <c r="I171" s="353"/>
      <c r="J171" s="353"/>
      <c r="K171" s="353"/>
      <c r="L171" s="365"/>
      <c r="M171" s="362"/>
      <c r="N171" s="365"/>
      <c r="O171" s="363"/>
      <c r="P171" s="363"/>
      <c r="Q171" s="362"/>
      <c r="R171" s="374"/>
      <c r="S171" s="488"/>
      <c r="T171" s="489"/>
      <c r="U171" s="477"/>
      <c r="V171" s="477"/>
      <c r="W171" s="477"/>
      <c r="X171" s="477"/>
    </row>
    <row r="172" spans="1:24" ht="32.25" hidden="1" customHeight="1">
      <c r="A172" s="478"/>
      <c r="B172" s="476"/>
      <c r="C172" s="357" t="s">
        <v>751</v>
      </c>
      <c r="D172" s="357" t="s">
        <v>752</v>
      </c>
      <c r="E172" s="359"/>
      <c r="F172" s="360"/>
      <c r="G172" s="379"/>
      <c r="H172" s="353"/>
      <c r="I172" s="353"/>
      <c r="J172" s="353"/>
      <c r="K172" s="353">
        <f t="shared" ref="K172:K185" si="7">G172*E172</f>
        <v>0</v>
      </c>
      <c r="L172" s="365"/>
      <c r="M172" s="362"/>
      <c r="N172" s="365"/>
      <c r="O172" s="363"/>
      <c r="P172" s="363"/>
      <c r="Q172" s="362"/>
      <c r="R172" s="374"/>
      <c r="S172" s="483"/>
      <c r="T172" s="484"/>
      <c r="U172" s="499" t="s">
        <v>753</v>
      </c>
      <c r="V172" s="499"/>
      <c r="W172" s="499"/>
      <c r="X172" s="499"/>
    </row>
    <row r="173" spans="1:24" ht="30" hidden="1">
      <c r="A173" s="478"/>
      <c r="B173" s="476"/>
      <c r="C173" s="357" t="s">
        <v>754</v>
      </c>
      <c r="D173" s="357" t="s">
        <v>755</v>
      </c>
      <c r="E173" s="359"/>
      <c r="F173" s="360"/>
      <c r="G173" s="379"/>
      <c r="H173" s="353"/>
      <c r="I173" s="353"/>
      <c r="J173" s="353"/>
      <c r="K173" s="353">
        <f t="shared" si="7"/>
        <v>0</v>
      </c>
      <c r="L173" s="365"/>
      <c r="M173" s="362"/>
      <c r="N173" s="365"/>
      <c r="O173" s="363"/>
      <c r="P173" s="363"/>
      <c r="Q173" s="362"/>
      <c r="R173" s="374"/>
      <c r="S173" s="483"/>
      <c r="T173" s="484"/>
      <c r="U173" s="499" t="s">
        <v>753</v>
      </c>
      <c r="V173" s="499"/>
      <c r="W173" s="499"/>
      <c r="X173" s="499"/>
    </row>
    <row r="174" spans="1:24" hidden="1">
      <c r="A174" s="478"/>
      <c r="B174" s="476"/>
      <c r="C174" s="357"/>
      <c r="D174" s="408" t="s">
        <v>756</v>
      </c>
      <c r="E174" s="359"/>
      <c r="F174" s="360"/>
      <c r="G174" s="379"/>
      <c r="H174" s="353"/>
      <c r="I174" s="353"/>
      <c r="J174" s="353"/>
      <c r="K174" s="353">
        <f t="shared" si="7"/>
        <v>0</v>
      </c>
      <c r="L174" s="365"/>
      <c r="M174" s="362"/>
      <c r="N174" s="365"/>
      <c r="O174" s="363"/>
      <c r="P174" s="363"/>
      <c r="Q174" s="362"/>
      <c r="R174" s="374"/>
      <c r="S174" s="483"/>
      <c r="T174" s="484"/>
      <c r="U174" s="477"/>
      <c r="V174" s="477"/>
      <c r="W174" s="477"/>
      <c r="X174" s="477"/>
    </row>
    <row r="175" spans="1:24" hidden="1">
      <c r="A175" s="478"/>
      <c r="B175" s="476"/>
      <c r="C175" s="357"/>
      <c r="D175" s="388" t="s">
        <v>757</v>
      </c>
      <c r="E175" s="359"/>
      <c r="F175" s="360"/>
      <c r="G175" s="379"/>
      <c r="H175" s="353"/>
      <c r="I175" s="353"/>
      <c r="J175" s="353"/>
      <c r="K175" s="353">
        <f t="shared" si="7"/>
        <v>0</v>
      </c>
      <c r="L175" s="365"/>
      <c r="M175" s="362"/>
      <c r="N175" s="365"/>
      <c r="O175" s="363"/>
      <c r="P175" s="363"/>
      <c r="Q175" s="362"/>
      <c r="R175" s="374"/>
      <c r="S175" s="483"/>
      <c r="T175" s="484"/>
      <c r="U175" s="477"/>
      <c r="V175" s="477"/>
      <c r="W175" s="477"/>
      <c r="X175" s="477"/>
    </row>
    <row r="176" spans="1:24" hidden="1">
      <c r="A176" s="478"/>
      <c r="B176" s="476"/>
      <c r="C176" s="357"/>
      <c r="D176" s="388" t="s">
        <v>758</v>
      </c>
      <c r="E176" s="359"/>
      <c r="F176" s="360"/>
      <c r="G176" s="379"/>
      <c r="H176" s="353"/>
      <c r="I176" s="353"/>
      <c r="J176" s="353"/>
      <c r="K176" s="353">
        <f t="shared" si="7"/>
        <v>0</v>
      </c>
      <c r="L176" s="365"/>
      <c r="M176" s="362"/>
      <c r="N176" s="365"/>
      <c r="O176" s="363"/>
      <c r="P176" s="363"/>
      <c r="Q176" s="362"/>
      <c r="R176" s="374"/>
      <c r="S176" s="483"/>
      <c r="T176" s="484"/>
      <c r="U176" s="477"/>
      <c r="V176" s="477"/>
      <c r="W176" s="477"/>
      <c r="X176" s="477"/>
    </row>
    <row r="177" spans="1:24" hidden="1">
      <c r="A177" s="478"/>
      <c r="B177" s="476"/>
      <c r="C177" s="357"/>
      <c r="D177" s="388" t="s">
        <v>759</v>
      </c>
      <c r="E177" s="359"/>
      <c r="F177" s="360"/>
      <c r="G177" s="379"/>
      <c r="H177" s="353"/>
      <c r="I177" s="353"/>
      <c r="J177" s="353"/>
      <c r="K177" s="353">
        <f t="shared" si="7"/>
        <v>0</v>
      </c>
      <c r="L177" s="365"/>
      <c r="M177" s="362"/>
      <c r="N177" s="365"/>
      <c r="O177" s="363"/>
      <c r="P177" s="363"/>
      <c r="Q177" s="362"/>
      <c r="R177" s="374"/>
      <c r="S177" s="483"/>
      <c r="T177" s="484"/>
      <c r="U177" s="477"/>
      <c r="V177" s="477"/>
      <c r="W177" s="477"/>
      <c r="X177" s="477"/>
    </row>
    <row r="178" spans="1:24" hidden="1">
      <c r="A178" s="478"/>
      <c r="B178" s="476"/>
      <c r="C178" s="357"/>
      <c r="D178" s="388" t="s">
        <v>760</v>
      </c>
      <c r="E178" s="359"/>
      <c r="F178" s="360"/>
      <c r="G178" s="379"/>
      <c r="H178" s="353"/>
      <c r="I178" s="353"/>
      <c r="J178" s="353"/>
      <c r="K178" s="353">
        <f t="shared" si="7"/>
        <v>0</v>
      </c>
      <c r="L178" s="365"/>
      <c r="M178" s="362"/>
      <c r="N178" s="365"/>
      <c r="O178" s="363"/>
      <c r="P178" s="363"/>
      <c r="Q178" s="362"/>
      <c r="R178" s="374"/>
      <c r="S178" s="483"/>
      <c r="T178" s="484"/>
      <c r="U178" s="477"/>
      <c r="V178" s="477"/>
      <c r="W178" s="477"/>
      <c r="X178" s="477"/>
    </row>
    <row r="179" spans="1:24" hidden="1">
      <c r="A179" s="478"/>
      <c r="B179" s="476"/>
      <c r="C179" s="357"/>
      <c r="D179" s="409" t="s">
        <v>761</v>
      </c>
      <c r="E179" s="359"/>
      <c r="F179" s="360"/>
      <c r="G179" s="379"/>
      <c r="H179" s="353"/>
      <c r="I179" s="353"/>
      <c r="J179" s="353"/>
      <c r="K179" s="353">
        <f t="shared" si="7"/>
        <v>0</v>
      </c>
      <c r="L179" s="365"/>
      <c r="M179" s="362"/>
      <c r="N179" s="365"/>
      <c r="O179" s="363"/>
      <c r="P179" s="363"/>
      <c r="Q179" s="362"/>
      <c r="R179" s="374"/>
      <c r="S179" s="483"/>
      <c r="T179" s="484"/>
      <c r="U179" s="477"/>
      <c r="V179" s="477"/>
      <c r="W179" s="477"/>
      <c r="X179" s="477"/>
    </row>
    <row r="180" spans="1:24" hidden="1">
      <c r="A180" s="478"/>
      <c r="B180" s="476"/>
      <c r="C180" s="357"/>
      <c r="D180" s="409" t="s">
        <v>762</v>
      </c>
      <c r="E180" s="359"/>
      <c r="F180" s="360"/>
      <c r="G180" s="379"/>
      <c r="H180" s="353"/>
      <c r="I180" s="353"/>
      <c r="J180" s="353"/>
      <c r="K180" s="353">
        <f t="shared" si="7"/>
        <v>0</v>
      </c>
      <c r="L180" s="365"/>
      <c r="M180" s="362"/>
      <c r="N180" s="365"/>
      <c r="O180" s="363"/>
      <c r="P180" s="363"/>
      <c r="Q180" s="362"/>
      <c r="R180" s="374"/>
      <c r="S180" s="483"/>
      <c r="T180" s="484"/>
      <c r="U180" s="477"/>
      <c r="V180" s="477"/>
      <c r="W180" s="477"/>
      <c r="X180" s="477"/>
    </row>
    <row r="181" spans="1:24" hidden="1">
      <c r="A181" s="478"/>
      <c r="B181" s="476"/>
      <c r="C181" s="357"/>
      <c r="D181" s="407" t="s">
        <v>763</v>
      </c>
      <c r="E181" s="359"/>
      <c r="F181" s="360"/>
      <c r="G181" s="379"/>
      <c r="H181" s="353"/>
      <c r="I181" s="353"/>
      <c r="J181" s="353"/>
      <c r="K181" s="353">
        <f t="shared" si="7"/>
        <v>0</v>
      </c>
      <c r="L181" s="365"/>
      <c r="M181" s="362"/>
      <c r="N181" s="365"/>
      <c r="O181" s="363"/>
      <c r="P181" s="363"/>
      <c r="Q181" s="362"/>
      <c r="R181" s="374"/>
      <c r="S181" s="483"/>
      <c r="T181" s="484"/>
      <c r="U181" s="477"/>
      <c r="V181" s="477"/>
      <c r="W181" s="477"/>
      <c r="X181" s="477"/>
    </row>
    <row r="182" spans="1:24" ht="30" hidden="1">
      <c r="A182" s="478"/>
      <c r="B182" s="476"/>
      <c r="C182" s="357"/>
      <c r="D182" s="407" t="s">
        <v>764</v>
      </c>
      <c r="E182" s="359"/>
      <c r="F182" s="360"/>
      <c r="G182" s="379"/>
      <c r="H182" s="353"/>
      <c r="I182" s="353"/>
      <c r="J182" s="353"/>
      <c r="K182" s="353">
        <f t="shared" si="7"/>
        <v>0</v>
      </c>
      <c r="L182" s="365"/>
      <c r="M182" s="362"/>
      <c r="N182" s="365"/>
      <c r="O182" s="363"/>
      <c r="P182" s="363"/>
      <c r="Q182" s="362"/>
      <c r="R182" s="374"/>
      <c r="S182" s="483"/>
      <c r="T182" s="484"/>
      <c r="U182" s="477"/>
      <c r="V182" s="477"/>
      <c r="W182" s="477"/>
      <c r="X182" s="477"/>
    </row>
    <row r="183" spans="1:24" hidden="1">
      <c r="A183" s="478"/>
      <c r="B183" s="476"/>
      <c r="C183" s="357"/>
      <c r="D183" s="388" t="s">
        <v>765</v>
      </c>
      <c r="E183" s="359"/>
      <c r="F183" s="360"/>
      <c r="G183" s="379"/>
      <c r="H183" s="353"/>
      <c r="I183" s="353"/>
      <c r="J183" s="353"/>
      <c r="K183" s="353">
        <f t="shared" si="7"/>
        <v>0</v>
      </c>
      <c r="L183" s="365"/>
      <c r="M183" s="362"/>
      <c r="N183" s="365"/>
      <c r="O183" s="363"/>
      <c r="P183" s="363"/>
      <c r="Q183" s="362"/>
      <c r="R183" s="374"/>
      <c r="S183" s="483"/>
      <c r="T183" s="484"/>
      <c r="U183" s="477"/>
      <c r="V183" s="477"/>
      <c r="W183" s="477"/>
      <c r="X183" s="477"/>
    </row>
    <row r="184" spans="1:24" hidden="1">
      <c r="A184" s="478"/>
      <c r="B184" s="476"/>
      <c r="C184" s="357"/>
      <c r="D184" s="407" t="s">
        <v>766</v>
      </c>
      <c r="E184" s="359"/>
      <c r="F184" s="360"/>
      <c r="G184" s="379"/>
      <c r="H184" s="353"/>
      <c r="I184" s="353"/>
      <c r="J184" s="353"/>
      <c r="K184" s="353">
        <f t="shared" si="7"/>
        <v>0</v>
      </c>
      <c r="L184" s="365"/>
      <c r="M184" s="362"/>
      <c r="N184" s="365"/>
      <c r="O184" s="363"/>
      <c r="P184" s="363"/>
      <c r="Q184" s="362"/>
      <c r="R184" s="374"/>
      <c r="S184" s="483"/>
      <c r="T184" s="484"/>
      <c r="U184" s="477"/>
      <c r="V184" s="477"/>
      <c r="W184" s="477"/>
      <c r="X184" s="477"/>
    </row>
    <row r="185" spans="1:24">
      <c r="A185" s="478"/>
      <c r="B185" s="476"/>
      <c r="C185" s="357"/>
      <c r="D185" s="357"/>
      <c r="E185" s="359"/>
      <c r="F185" s="360"/>
      <c r="G185" s="379"/>
      <c r="H185" s="353"/>
      <c r="I185" s="353"/>
      <c r="J185" s="353"/>
      <c r="K185" s="353">
        <f t="shared" si="7"/>
        <v>0</v>
      </c>
      <c r="L185" s="365"/>
      <c r="M185" s="362"/>
      <c r="N185" s="365"/>
      <c r="O185" s="363"/>
      <c r="P185" s="363"/>
      <c r="Q185" s="362"/>
      <c r="R185" s="374"/>
      <c r="S185" s="483"/>
      <c r="T185" s="484"/>
      <c r="U185" s="477"/>
      <c r="V185" s="477"/>
      <c r="W185" s="477"/>
      <c r="X185" s="477"/>
    </row>
    <row r="186" spans="1:24">
      <c r="A186" s="500"/>
      <c r="B186" s="488"/>
      <c r="C186" s="410"/>
      <c r="D186" s="411"/>
      <c r="E186" s="412"/>
      <c r="F186" s="413"/>
      <c r="G186" s="413"/>
      <c r="H186" s="414"/>
      <c r="I186" s="414"/>
      <c r="J186" s="414"/>
      <c r="K186" s="414"/>
      <c r="L186" s="414"/>
      <c r="M186" s="415"/>
      <c r="N186" s="416"/>
      <c r="O186" s="415"/>
      <c r="P186" s="417"/>
      <c r="Q186" s="418"/>
      <c r="R186" s="414"/>
      <c r="S186" s="483"/>
      <c r="T186" s="484"/>
      <c r="U186" s="489"/>
      <c r="V186" s="489"/>
      <c r="W186" s="489"/>
      <c r="X186" s="489"/>
    </row>
    <row r="187" spans="1:24" s="419" customFormat="1">
      <c r="C187" s="420" t="s">
        <v>767</v>
      </c>
      <c r="D187" s="421" t="s">
        <v>768</v>
      </c>
      <c r="E187" s="422"/>
      <c r="F187" s="423"/>
      <c r="G187" s="423"/>
      <c r="H187" s="424"/>
      <c r="I187" s="424"/>
      <c r="J187" s="424"/>
      <c r="K187" s="424">
        <f>SUM(K6:K186)</f>
        <v>-3263710.0972807021</v>
      </c>
      <c r="L187" s="424">
        <f>SUM(L6:L186)-L115</f>
        <v>-2001049.0311111114</v>
      </c>
      <c r="M187" s="425"/>
      <c r="N187" s="426">
        <f>SUM(N6:N186)</f>
        <v>-309455.38888888888</v>
      </c>
      <c r="O187" s="425"/>
      <c r="P187" s="427">
        <f>SUM(P6:P186)-P17</f>
        <v>-818677.70333333337</v>
      </c>
      <c r="Q187" s="428"/>
      <c r="R187" s="429"/>
      <c r="X187" s="461">
        <f>SUM(X6:X186)</f>
        <v>45736</v>
      </c>
    </row>
    <row r="188" spans="1:24" s="430" customFormat="1">
      <c r="C188" s="431" t="s">
        <v>769</v>
      </c>
      <c r="D188" s="432" t="s">
        <v>770</v>
      </c>
      <c r="E188" s="433">
        <v>1</v>
      </c>
      <c r="F188" s="434" t="s">
        <v>325</v>
      </c>
      <c r="G188" s="434"/>
      <c r="H188" s="435"/>
      <c r="I188" s="435"/>
      <c r="J188" s="435"/>
      <c r="K188" s="435">
        <f>K187*[16]Summary!$T$52</f>
        <v>-282953.53829438676</v>
      </c>
      <c r="L188" s="435">
        <f>L187*[16]Summary!$T$52</f>
        <v>-173484.74183574089</v>
      </c>
      <c r="M188" s="436"/>
      <c r="N188" s="435">
        <f>N187*[16]Summary!$T$52</f>
        <v>-26828.821991062297</v>
      </c>
      <c r="O188" s="437"/>
      <c r="P188" s="435">
        <f>P187*[16]Summary!$T$52</f>
        <v>-70976.816560360574</v>
      </c>
      <c r="Q188" s="438"/>
      <c r="R188" s="439"/>
    </row>
    <row r="189" spans="1:24" s="440" customFormat="1">
      <c r="C189" s="441" t="s">
        <v>771</v>
      </c>
      <c r="D189" s="442" t="s">
        <v>772</v>
      </c>
      <c r="E189" s="443"/>
      <c r="F189" s="442"/>
      <c r="G189" s="442"/>
      <c r="H189" s="444"/>
      <c r="I189" s="444"/>
      <c r="J189" s="444"/>
      <c r="K189" s="444">
        <f>SUM(K187:K188)</f>
        <v>-3546663.6355750887</v>
      </c>
      <c r="L189" s="444">
        <f>SUM(L187:L188)</f>
        <v>-2174533.7729468523</v>
      </c>
      <c r="M189" s="445"/>
      <c r="N189" s="446">
        <f>SUM(N187:N188)</f>
        <v>-336284.21087995119</v>
      </c>
      <c r="O189" s="445"/>
      <c r="P189" s="447">
        <f>SUM(P187:P188)</f>
        <v>-889654.51989369397</v>
      </c>
      <c r="Q189" s="438"/>
      <c r="R189" s="448"/>
    </row>
    <row r="191" spans="1:24">
      <c r="A191" s="470"/>
      <c r="B191" s="470"/>
      <c r="C191" s="470"/>
      <c r="G191" s="616" t="s">
        <v>773</v>
      </c>
      <c r="H191" s="616"/>
      <c r="I191" s="616"/>
      <c r="J191" s="616"/>
      <c r="K191" s="616"/>
      <c r="L191" s="451">
        <f>L189</f>
        <v>-2174533.7729468523</v>
      </c>
      <c r="M191" s="452" t="s">
        <v>774</v>
      </c>
      <c r="N191" s="453">
        <f>N189</f>
        <v>-336284.21087995119</v>
      </c>
      <c r="S191" s="470"/>
      <c r="T191" s="470"/>
      <c r="U191" s="470"/>
      <c r="V191" s="470"/>
      <c r="W191" s="470"/>
      <c r="X191" s="470"/>
    </row>
    <row r="192" spans="1:24">
      <c r="A192" s="470"/>
      <c r="B192" s="470"/>
      <c r="C192" s="470"/>
      <c r="G192" s="616" t="s">
        <v>775</v>
      </c>
      <c r="H192" s="616"/>
      <c r="I192" s="616"/>
      <c r="J192" s="616"/>
      <c r="K192" s="616"/>
      <c r="L192" s="451">
        <v>21471781.208153602</v>
      </c>
      <c r="M192" s="452" t="s">
        <v>776</v>
      </c>
      <c r="N192" s="453">
        <f>L193</f>
        <v>19297247.435206749</v>
      </c>
      <c r="S192" s="470"/>
      <c r="T192" s="470"/>
      <c r="U192" s="470"/>
      <c r="V192" s="470"/>
      <c r="W192" s="470"/>
      <c r="X192" s="470"/>
    </row>
    <row r="193" spans="4:19">
      <c r="D193" s="470"/>
      <c r="E193" s="501"/>
      <c r="G193" s="616" t="s">
        <v>776</v>
      </c>
      <c r="H193" s="616"/>
      <c r="I193" s="616"/>
      <c r="J193" s="616"/>
      <c r="K193" s="616"/>
      <c r="L193" s="451">
        <f>L191+L192</f>
        <v>19297247.435206749</v>
      </c>
      <c r="M193" s="452" t="s">
        <v>777</v>
      </c>
      <c r="N193" s="453">
        <f>N191+N192</f>
        <v>18960963.224326797</v>
      </c>
      <c r="S193" s="454">
        <v>21935646.030000001</v>
      </c>
    </row>
    <row r="194" spans="4:19">
      <c r="D194" s="470"/>
      <c r="E194" s="501"/>
      <c r="G194" s="616" t="s">
        <v>68</v>
      </c>
      <c r="H194" s="616"/>
      <c r="I194" s="616"/>
      <c r="J194" s="616"/>
      <c r="K194" s="616"/>
      <c r="L194" s="451">
        <v>18600000</v>
      </c>
      <c r="M194" s="452" t="s">
        <v>68</v>
      </c>
      <c r="N194" s="453">
        <v>18600000</v>
      </c>
      <c r="S194" s="455">
        <f>+S193+L189</f>
        <v>19761112.257053148</v>
      </c>
    </row>
    <row r="195" spans="4:19">
      <c r="D195" s="470"/>
      <c r="E195" s="501"/>
      <c r="G195" s="616" t="s">
        <v>778</v>
      </c>
      <c r="H195" s="616"/>
      <c r="I195" s="616"/>
      <c r="J195" s="616"/>
      <c r="K195" s="616"/>
      <c r="L195" s="451">
        <f>L194-L193</f>
        <v>-697247.43520674855</v>
      </c>
      <c r="M195" s="452" t="s">
        <v>779</v>
      </c>
      <c r="N195" s="453">
        <f>N194-N193</f>
        <v>-360963.22432679683</v>
      </c>
      <c r="S195" s="455"/>
    </row>
    <row r="196" spans="4:19">
      <c r="D196" s="470"/>
      <c r="E196" s="501"/>
      <c r="G196" s="536"/>
      <c r="H196" s="536"/>
      <c r="I196" s="536"/>
      <c r="J196" s="536"/>
      <c r="K196" s="536"/>
      <c r="L196" s="456"/>
      <c r="M196" s="452"/>
      <c r="N196" s="457"/>
      <c r="S196" s="455"/>
    </row>
    <row r="197" spans="4:19" ht="15" customHeight="1">
      <c r="G197" s="617" t="s">
        <v>780</v>
      </c>
      <c r="H197" s="617"/>
      <c r="I197" s="617"/>
      <c r="J197" s="617"/>
      <c r="K197" s="617"/>
      <c r="L197" s="617"/>
      <c r="M197" s="618" t="s">
        <v>781</v>
      </c>
      <c r="N197" s="617"/>
      <c r="S197" s="470"/>
    </row>
    <row r="198" spans="4:19">
      <c r="G198" s="616" t="s">
        <v>782</v>
      </c>
      <c r="H198" s="616"/>
      <c r="I198" s="616"/>
      <c r="J198" s="616"/>
      <c r="K198" s="616"/>
      <c r="L198" s="458">
        <f>[16]Summary!M42+'VE List'!L187</f>
        <v>15483950.014888888</v>
      </c>
      <c r="M198" s="536" t="s">
        <v>783</v>
      </c>
      <c r="N198" s="459">
        <f>[16]Summary!M42+'VE List'!L187+N187</f>
        <v>15174494.626</v>
      </c>
      <c r="S198" s="470"/>
    </row>
    <row r="199" spans="4:19">
      <c r="G199" s="616" t="s">
        <v>784</v>
      </c>
      <c r="H199" s="616"/>
      <c r="I199" s="616"/>
      <c r="J199" s="616"/>
      <c r="K199" s="616"/>
      <c r="L199" s="451">
        <v>400000</v>
      </c>
      <c r="M199" s="452" t="s">
        <v>784</v>
      </c>
      <c r="N199" s="460">
        <v>400000</v>
      </c>
      <c r="S199" s="470"/>
    </row>
    <row r="200" spans="4:19">
      <c r="G200" s="616" t="s">
        <v>785</v>
      </c>
      <c r="H200" s="616"/>
      <c r="I200" s="616"/>
      <c r="J200" s="616"/>
      <c r="K200" s="616"/>
      <c r="L200" s="451">
        <f>1%*L198</f>
        <v>154839.50014888888</v>
      </c>
      <c r="M200" s="452" t="s">
        <v>785</v>
      </c>
      <c r="N200" s="460">
        <f>1%*N198</f>
        <v>151744.94626</v>
      </c>
      <c r="S200" s="470"/>
    </row>
    <row r="201" spans="4:19">
      <c r="G201" s="616" t="s">
        <v>786</v>
      </c>
      <c r="H201" s="616"/>
      <c r="I201" s="616"/>
      <c r="J201" s="616"/>
      <c r="K201" s="616"/>
      <c r="L201" s="451">
        <f>3%*L198</f>
        <v>464518.50044666661</v>
      </c>
      <c r="M201" s="452" t="s">
        <v>786</v>
      </c>
      <c r="N201" s="460">
        <f>3%*N198</f>
        <v>455234.83877999999</v>
      </c>
      <c r="S201" s="470"/>
    </row>
    <row r="202" spans="4:19">
      <c r="G202" s="616" t="s">
        <v>787</v>
      </c>
      <c r="H202" s="616"/>
      <c r="I202" s="616"/>
      <c r="J202" s="616"/>
      <c r="K202" s="616"/>
      <c r="L202" s="451">
        <f>SUM(L199:L201)</f>
        <v>1019358.0005955555</v>
      </c>
      <c r="M202" s="452" t="s">
        <v>787</v>
      </c>
      <c r="N202" s="460">
        <f>SUM(N199:N201)</f>
        <v>1006979.78504</v>
      </c>
      <c r="S202" s="470"/>
    </row>
  </sheetData>
  <autoFilter ref="A5:T5"/>
  <mergeCells count="12">
    <mergeCell ref="M197:N197"/>
    <mergeCell ref="G198:K198"/>
    <mergeCell ref="G199:K199"/>
    <mergeCell ref="G200:K200"/>
    <mergeCell ref="G201:K201"/>
    <mergeCell ref="G202:K202"/>
    <mergeCell ref="G191:K191"/>
    <mergeCell ref="G192:K192"/>
    <mergeCell ref="G193:K193"/>
    <mergeCell ref="G194:K194"/>
    <mergeCell ref="G195:K195"/>
    <mergeCell ref="G197:L197"/>
  </mergeCells>
  <pageMargins left="0.3" right="0.25" top="0.31" bottom="0.59" header="0.15" footer="0.19"/>
  <pageSetup scale="53" fitToHeight="0" orientation="landscape" horizontalDpi="1200" verticalDpi="1200" r:id="rId1"/>
  <headerFooter>
    <oddFooter>&amp;CThe Living Building @ Georgia Tech
DD VE Summary &amp; Items List</oddFooter>
  </headerFooter>
  <rowBreaks count="2" manualBreakCount="2">
    <brk id="77" min="1" max="23" man="1"/>
    <brk id="136" min="1"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Proposal Summary</vt:lpstr>
      <vt:lpstr>Pkg Cut-Add</vt:lpstr>
      <vt:lpstr>Materials Procurement Plan</vt:lpstr>
      <vt:lpstr>Procurement Estimate</vt:lpstr>
      <vt:lpstr>Waste Estimate</vt:lpstr>
      <vt:lpstr>Unit Prices</vt:lpstr>
      <vt:lpstr>VE List</vt:lpstr>
      <vt:lpstr>'Procurement Estimate'!Print_Area</vt:lpstr>
      <vt:lpstr>'VE List'!Print_Area</vt:lpstr>
      <vt:lpstr>'VE List'!Print_Titles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Bob</dc:creator>
  <cp:lastModifiedBy>O'Connell, Megan</cp:lastModifiedBy>
  <cp:revision/>
  <dcterms:created xsi:type="dcterms:W3CDTF">2009-04-13T13:26:22Z</dcterms:created>
  <dcterms:modified xsi:type="dcterms:W3CDTF">2019-02-05T14:29:44Z</dcterms:modified>
</cp:coreProperties>
</file>